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i na 2025\bàn giao ngân sách\giao dt xã mới\Nghị quyết điều chỉnh\"/>
    </mc:Choice>
  </mc:AlternateContent>
  <xr:revisionPtr revIDLastSave="0" documentId="13_ncr:1_{05901B6B-2328-4FC9-9223-4FDC047C811F}" xr6:coauthVersionLast="47" xr6:coauthVersionMax="47" xr10:uidLastSave="{00000000-0000-0000-0000-000000000000}"/>
  <bookViews>
    <workbookView xWindow="-120" yWindow="-120" windowWidth="20730" windowHeight="11040" activeTab="4" xr2:uid="{00000000-000D-0000-FFFF-FFFF00000000}"/>
  </bookViews>
  <sheets>
    <sheet name="PL1 CÂN ĐỐI" sheetId="1" r:id="rId1"/>
    <sheet name="PL 2 THU" sheetId="2" r:id="rId2"/>
    <sheet name="PL3 CHI CĐ" sheetId="3" r:id="rId3"/>
    <sheet name="PL 4 DT CHI" sheetId="4" r:id="rId4"/>
    <sheet name="PL5 PHÂN BỔ" sheetId="5" r:id="rId5"/>
  </sheets>
  <calcPr calcId="181029"/>
</workbook>
</file>

<file path=xl/calcChain.xml><?xml version="1.0" encoding="utf-8"?>
<calcChain xmlns="http://schemas.openxmlformats.org/spreadsheetml/2006/main">
  <c r="D108" i="5" l="1"/>
  <c r="D68" i="5"/>
  <c r="F68" i="5" s="1"/>
  <c r="D109" i="5"/>
  <c r="F109" i="5"/>
  <c r="J10" i="4"/>
  <c r="D10" i="4"/>
  <c r="E10" i="4"/>
  <c r="F10" i="4"/>
  <c r="L10" i="4" s="1"/>
  <c r="N10" i="4" s="1"/>
  <c r="G10" i="4"/>
  <c r="H10" i="4"/>
  <c r="I10" i="4"/>
  <c r="L12" i="4"/>
  <c r="C10" i="4"/>
  <c r="D129" i="5"/>
  <c r="E129" i="5"/>
  <c r="H22" i="3"/>
  <c r="G22" i="3"/>
  <c r="F22" i="3"/>
  <c r="C22" i="3"/>
  <c r="J15" i="4"/>
  <c r="D79" i="5"/>
  <c r="D91" i="5"/>
  <c r="L40" i="4"/>
  <c r="C40" i="4"/>
  <c r="J40" i="4"/>
  <c r="I40" i="4"/>
  <c r="H21" i="3"/>
  <c r="H40" i="3"/>
  <c r="D33" i="2"/>
  <c r="D14" i="1"/>
  <c r="C14" i="1"/>
  <c r="D15" i="1"/>
  <c r="C15" i="1"/>
  <c r="D20" i="1"/>
  <c r="C19" i="1"/>
  <c r="E80" i="5"/>
  <c r="E79" i="5"/>
  <c r="E38" i="5"/>
  <c r="E8" i="5" s="1"/>
  <c r="E7" i="5" s="1"/>
  <c r="F80" i="5"/>
  <c r="F81" i="5"/>
  <c r="F82" i="5"/>
  <c r="F83" i="5"/>
  <c r="F84" i="5"/>
  <c r="F85" i="5"/>
  <c r="F86" i="5"/>
  <c r="F87" i="5"/>
  <c r="F88" i="5"/>
  <c r="F89" i="5"/>
  <c r="F90" i="5"/>
  <c r="F79" i="5"/>
  <c r="F91" i="5"/>
  <c r="F100" i="5"/>
  <c r="F107" i="5"/>
  <c r="D40" i="5"/>
  <c r="D41" i="5"/>
  <c r="D39" i="5"/>
  <c r="F39" i="5"/>
  <c r="D58" i="5"/>
  <c r="F59" i="5"/>
  <c r="D59" i="5"/>
  <c r="D51" i="5"/>
  <c r="F51" i="5"/>
  <c r="D100" i="5"/>
  <c r="F110" i="5"/>
  <c r="L15" i="4"/>
  <c r="H22" i="4"/>
  <c r="D147" i="5"/>
  <c r="D143" i="5"/>
  <c r="F143" i="5"/>
  <c r="F130" i="5"/>
  <c r="F138" i="5"/>
  <c r="F139" i="5"/>
  <c r="F140" i="5"/>
  <c r="F141" i="5"/>
  <c r="F137" i="5"/>
  <c r="D142" i="5"/>
  <c r="F142" i="5"/>
  <c r="F146" i="5"/>
  <c r="F148" i="5"/>
  <c r="F129" i="5"/>
  <c r="F17" i="5"/>
  <c r="F18" i="5"/>
  <c r="F19" i="5"/>
  <c r="F20" i="5"/>
  <c r="F21" i="5"/>
  <c r="F22" i="5"/>
  <c r="F23" i="5"/>
  <c r="F10" i="5"/>
  <c r="F9" i="5"/>
  <c r="F25" i="5"/>
  <c r="F27" i="5"/>
  <c r="F29" i="5"/>
  <c r="F24" i="5"/>
  <c r="F32" i="5"/>
  <c r="D36" i="5"/>
  <c r="E36" i="5"/>
  <c r="F36" i="5"/>
  <c r="F31" i="5"/>
  <c r="D112" i="5"/>
  <c r="E112" i="5"/>
  <c r="F112" i="5"/>
  <c r="F115" i="5"/>
  <c r="F111" i="5"/>
  <c r="D123" i="5"/>
  <c r="D118" i="5"/>
  <c r="F118" i="5"/>
  <c r="F124" i="5"/>
  <c r="F125" i="5"/>
  <c r="F126" i="5"/>
  <c r="F127" i="5"/>
  <c r="F117" i="5"/>
  <c r="F122" i="5"/>
  <c r="E147" i="5"/>
  <c r="J34" i="4"/>
  <c r="J22" i="4"/>
  <c r="J19" i="4"/>
  <c r="D39" i="4"/>
  <c r="G33" i="4"/>
  <c r="D26" i="4"/>
  <c r="D17" i="4"/>
  <c r="C17" i="4"/>
  <c r="F28" i="3"/>
  <c r="F39" i="3"/>
  <c r="D35" i="3"/>
  <c r="E35" i="3"/>
  <c r="E15" i="3"/>
  <c r="C20" i="3"/>
  <c r="E11" i="3"/>
  <c r="D11" i="3"/>
  <c r="E16" i="3"/>
  <c r="C11" i="3"/>
  <c r="E154" i="5"/>
  <c r="E152" i="5"/>
  <c r="F152" i="5"/>
  <c r="D130" i="5"/>
  <c r="E130" i="5"/>
  <c r="F150" i="5"/>
  <c r="F149" i="5"/>
  <c r="I33" i="4"/>
  <c r="F58" i="5"/>
  <c r="F77" i="5"/>
  <c r="D14" i="5"/>
  <c r="E11" i="5"/>
  <c r="D11" i="5"/>
  <c r="D151" i="5"/>
  <c r="E128" i="5"/>
  <c r="D128" i="5"/>
  <c r="E27" i="5"/>
  <c r="D16" i="5"/>
  <c r="D15" i="5"/>
  <c r="D13" i="5"/>
  <c r="D12" i="5"/>
  <c r="F123" i="5"/>
  <c r="F102" i="5"/>
  <c r="F103" i="5"/>
  <c r="F104" i="5"/>
  <c r="F105" i="5"/>
  <c r="F106" i="5"/>
  <c r="F101" i="5"/>
  <c r="F93" i="5"/>
  <c r="F94" i="5"/>
  <c r="F95" i="5"/>
  <c r="F96" i="5"/>
  <c r="F97" i="5"/>
  <c r="F98" i="5"/>
  <c r="F99" i="5"/>
  <c r="F92" i="5"/>
  <c r="F66" i="5"/>
  <c r="F67" i="5"/>
  <c r="F69" i="5"/>
  <c r="F70" i="5"/>
  <c r="F71" i="5"/>
  <c r="F72" i="5"/>
  <c r="F73" i="5"/>
  <c r="F74" i="5"/>
  <c r="F75" i="5"/>
  <c r="F76" i="5"/>
  <c r="F78" i="5"/>
  <c r="F65" i="5"/>
  <c r="F53" i="5"/>
  <c r="F54" i="5"/>
  <c r="F55" i="5"/>
  <c r="F56" i="5"/>
  <c r="F57" i="5"/>
  <c r="F60" i="5"/>
  <c r="F61" i="5"/>
  <c r="F62" i="5"/>
  <c r="F63" i="5"/>
  <c r="F52" i="5"/>
  <c r="F41" i="5"/>
  <c r="F42" i="5"/>
  <c r="F43" i="5"/>
  <c r="F44" i="5"/>
  <c r="F45" i="5"/>
  <c r="F46" i="5"/>
  <c r="F47" i="5"/>
  <c r="F48" i="5"/>
  <c r="F49" i="5"/>
  <c r="F50" i="5"/>
  <c r="F121" i="5"/>
  <c r="F120" i="5"/>
  <c r="F119" i="5"/>
  <c r="D146" i="5"/>
  <c r="E146" i="5"/>
  <c r="F145" i="5"/>
  <c r="D137" i="5"/>
  <c r="D34" i="5"/>
  <c r="D35" i="5"/>
  <c r="D33" i="5"/>
  <c r="E25" i="5"/>
  <c r="D30" i="5"/>
  <c r="D28" i="5"/>
  <c r="D26" i="5"/>
  <c r="D25" i="5"/>
  <c r="E10" i="5"/>
  <c r="M10" i="4"/>
  <c r="E12" i="4"/>
  <c r="E11" i="4"/>
  <c r="E16" i="4"/>
  <c r="E24" i="4"/>
  <c r="E15" i="4"/>
  <c r="D34" i="4"/>
  <c r="C34" i="4"/>
  <c r="M33" i="4"/>
  <c r="F13" i="4"/>
  <c r="J13" i="4"/>
  <c r="J12" i="4"/>
  <c r="F12" i="4"/>
  <c r="F16" i="5"/>
  <c r="F15" i="5"/>
  <c r="F14" i="5"/>
  <c r="F13" i="5"/>
  <c r="D10" i="5"/>
  <c r="D9" i="5"/>
  <c r="E153" i="5"/>
  <c r="F153" i="5"/>
  <c r="D153" i="5"/>
  <c r="F144" i="5"/>
  <c r="E143" i="5"/>
  <c r="E137" i="5"/>
  <c r="E136" i="5"/>
  <c r="E135" i="5"/>
  <c r="E134" i="5"/>
  <c r="E133" i="5"/>
  <c r="E132" i="5"/>
  <c r="E131" i="5"/>
  <c r="E127" i="5"/>
  <c r="E117" i="5"/>
  <c r="D127" i="5"/>
  <c r="D117" i="5"/>
  <c r="E116" i="5"/>
  <c r="D115" i="5"/>
  <c r="F114" i="5"/>
  <c r="F113" i="5"/>
  <c r="F37" i="5"/>
  <c r="E31" i="5"/>
  <c r="D31" i="5"/>
  <c r="E29" i="5"/>
  <c r="D29" i="5"/>
  <c r="D27" i="5"/>
  <c r="D30" i="2"/>
  <c r="C30" i="2"/>
  <c r="D9" i="1"/>
  <c r="D29" i="2"/>
  <c r="C10" i="1"/>
  <c r="D23" i="2"/>
  <c r="G23" i="2"/>
  <c r="H23" i="2"/>
  <c r="D15" i="2"/>
  <c r="G15" i="2"/>
  <c r="H15" i="2"/>
  <c r="G21" i="2"/>
  <c r="H21" i="2"/>
  <c r="F22" i="2"/>
  <c r="D22" i="2"/>
  <c r="G22" i="2"/>
  <c r="H22" i="2"/>
  <c r="L39" i="4"/>
  <c r="E115" i="5"/>
  <c r="E111" i="5"/>
  <c r="D111" i="5"/>
  <c r="D24" i="5"/>
  <c r="E9" i="5"/>
  <c r="E24" i="5"/>
  <c r="C29" i="2"/>
  <c r="D11" i="2"/>
  <c r="G11" i="2"/>
  <c r="H11" i="2"/>
  <c r="D25" i="2"/>
  <c r="G25" i="2"/>
  <c r="H25" i="2"/>
  <c r="D26" i="2"/>
  <c r="G26" i="2"/>
  <c r="H26" i="2"/>
  <c r="H24" i="2"/>
  <c r="D17" i="2"/>
  <c r="G17" i="2"/>
  <c r="H17" i="2"/>
  <c r="D14" i="2"/>
  <c r="G14" i="2"/>
  <c r="H14" i="2"/>
  <c r="I32" i="4"/>
  <c r="C21" i="4"/>
  <c r="J21" i="4"/>
  <c r="I21" i="4"/>
  <c r="J17" i="4"/>
  <c r="G20" i="3"/>
  <c r="C14" i="3"/>
  <c r="C15" i="3"/>
  <c r="G35" i="2"/>
  <c r="H35" i="2"/>
  <c r="G32" i="2"/>
  <c r="H32" i="2"/>
  <c r="G33" i="2"/>
  <c r="H33" i="2"/>
  <c r="D31" i="2"/>
  <c r="G31" i="2"/>
  <c r="H31" i="2"/>
  <c r="G30" i="2"/>
  <c r="H30" i="2"/>
  <c r="C35" i="2"/>
  <c r="C33" i="2"/>
  <c r="C32" i="2"/>
  <c r="G29" i="2"/>
  <c r="H29" i="2"/>
  <c r="C17" i="1"/>
  <c r="C18" i="1"/>
  <c r="C13" i="1"/>
  <c r="C11" i="1"/>
  <c r="F16" i="4"/>
  <c r="G16" i="4"/>
  <c r="H16" i="4"/>
  <c r="I16" i="4"/>
  <c r="D18" i="4"/>
  <c r="D16" i="4"/>
  <c r="D33" i="4"/>
  <c r="C33" i="4"/>
  <c r="D28" i="4"/>
  <c r="D29" i="4"/>
  <c r="D30" i="4"/>
  <c r="D31" i="4"/>
  <c r="D32" i="4"/>
  <c r="D35" i="4"/>
  <c r="D36" i="4"/>
  <c r="D37" i="4"/>
  <c r="D25" i="4"/>
  <c r="D27" i="4"/>
  <c r="D20" i="4"/>
  <c r="D21" i="4"/>
  <c r="D22" i="4"/>
  <c r="D23" i="4"/>
  <c r="C18" i="4"/>
  <c r="J18" i="4"/>
  <c r="J16" i="4"/>
  <c r="I39" i="4"/>
  <c r="I34" i="4"/>
  <c r="I31" i="4"/>
  <c r="I30" i="4"/>
  <c r="I29" i="4"/>
  <c r="I28" i="4"/>
  <c r="I25" i="4"/>
  <c r="I24" i="4"/>
  <c r="I20" i="4"/>
  <c r="I11" i="4"/>
  <c r="D12" i="4"/>
  <c r="D11" i="4"/>
  <c r="F11" i="4"/>
  <c r="G12" i="4"/>
  <c r="G11" i="4"/>
  <c r="H12" i="4"/>
  <c r="H11" i="4"/>
  <c r="I12" i="4"/>
  <c r="J11" i="4"/>
  <c r="D19" i="4"/>
  <c r="E19" i="4"/>
  <c r="F19" i="4"/>
  <c r="D24" i="4"/>
  <c r="F24" i="4"/>
  <c r="H24" i="4"/>
  <c r="C39" i="4"/>
  <c r="J39" i="4"/>
  <c r="C22" i="4"/>
  <c r="C23" i="4"/>
  <c r="J23" i="4"/>
  <c r="C25" i="4"/>
  <c r="J25" i="4"/>
  <c r="C26" i="4"/>
  <c r="J26" i="4"/>
  <c r="C27" i="4"/>
  <c r="J27" i="4"/>
  <c r="C28" i="4"/>
  <c r="J28" i="4"/>
  <c r="C29" i="4"/>
  <c r="J29" i="4"/>
  <c r="C30" i="4"/>
  <c r="J30" i="4"/>
  <c r="C31" i="4"/>
  <c r="J31" i="4"/>
  <c r="C32" i="4"/>
  <c r="J32" i="4"/>
  <c r="C35" i="4"/>
  <c r="J35" i="4"/>
  <c r="C36" i="4"/>
  <c r="J36" i="4"/>
  <c r="C37" i="4"/>
  <c r="J37" i="4"/>
  <c r="C13" i="4"/>
  <c r="C12" i="4"/>
  <c r="C11" i="4"/>
  <c r="C14" i="4"/>
  <c r="C20" i="4"/>
  <c r="J20" i="4"/>
  <c r="H19" i="4"/>
  <c r="G24" i="4"/>
  <c r="G19" i="4"/>
  <c r="G15" i="4"/>
  <c r="I22" i="4"/>
  <c r="I23" i="4"/>
  <c r="J33" i="4"/>
  <c r="C16" i="4"/>
  <c r="C27" i="3"/>
  <c r="M16" i="4"/>
  <c r="H15" i="4"/>
  <c r="J24" i="4"/>
  <c r="I19" i="4"/>
  <c r="I15" i="4"/>
  <c r="C24" i="4"/>
  <c r="D15" i="4"/>
  <c r="F15" i="4"/>
  <c r="C19" i="4"/>
  <c r="M15" i="4"/>
  <c r="C15" i="4"/>
  <c r="L20" i="4"/>
  <c r="F29" i="3"/>
  <c r="F30" i="3"/>
  <c r="F31" i="3"/>
  <c r="F32" i="3"/>
  <c r="F33" i="3"/>
  <c r="F34" i="3"/>
  <c r="F35" i="3"/>
  <c r="F36" i="3"/>
  <c r="F37" i="3"/>
  <c r="D12" i="3"/>
  <c r="D26" i="3"/>
  <c r="D23" i="3"/>
  <c r="E23" i="3"/>
  <c r="C18" i="3"/>
  <c r="K19" i="2"/>
  <c r="J19" i="2"/>
  <c r="I19" i="2"/>
  <c r="E10" i="2"/>
  <c r="F10" i="2"/>
  <c r="C24" i="2"/>
  <c r="F24" i="2"/>
  <c r="F28" i="2"/>
  <c r="E24" i="2"/>
  <c r="E28" i="2"/>
  <c r="E18" i="2"/>
  <c r="F18" i="2"/>
  <c r="C18" i="2"/>
  <c r="D19" i="2"/>
  <c r="G19" i="2"/>
  <c r="D21" i="2"/>
  <c r="E9" i="2"/>
  <c r="D24" i="2"/>
  <c r="F9" i="2"/>
  <c r="G24" i="2"/>
  <c r="D18" i="2"/>
  <c r="G18" i="2"/>
  <c r="G10" i="2"/>
  <c r="G9" i="2"/>
  <c r="F11" i="3"/>
  <c r="G11" i="3"/>
  <c r="F12" i="3"/>
  <c r="G12" i="3"/>
  <c r="G19" i="3"/>
  <c r="H24" i="3"/>
  <c r="H17" i="3"/>
  <c r="H18" i="3"/>
  <c r="C25" i="3"/>
  <c r="H25" i="3"/>
  <c r="D19" i="3"/>
  <c r="D10" i="3"/>
  <c r="E19" i="3"/>
  <c r="E12" i="3"/>
  <c r="C16" i="3"/>
  <c r="H15" i="3"/>
  <c r="C21" i="3"/>
  <c r="H20" i="3"/>
  <c r="H16" i="3"/>
  <c r="C12" i="3"/>
  <c r="E10" i="3"/>
  <c r="C10" i="3"/>
  <c r="G10" i="3"/>
  <c r="H19" i="3"/>
  <c r="H11" i="3"/>
  <c r="D9" i="3"/>
  <c r="H14" i="3"/>
  <c r="C23" i="3"/>
  <c r="C19" i="3"/>
  <c r="G9" i="3"/>
  <c r="F19" i="3"/>
  <c r="F9" i="3"/>
  <c r="E9" i="3"/>
  <c r="H12" i="3"/>
  <c r="H10" i="3"/>
  <c r="H9" i="3"/>
  <c r="C9" i="3"/>
  <c r="F10" i="3"/>
  <c r="H23" i="3"/>
  <c r="C39" i="3"/>
  <c r="C28" i="3"/>
  <c r="H28" i="3"/>
  <c r="C29" i="3"/>
  <c r="H29" i="3"/>
  <c r="C30" i="3"/>
  <c r="C31" i="3"/>
  <c r="C32" i="3"/>
  <c r="H32" i="3"/>
  <c r="C33" i="3"/>
  <c r="H33" i="3"/>
  <c r="C34" i="3"/>
  <c r="H34" i="3"/>
  <c r="C36" i="3"/>
  <c r="H36" i="3"/>
  <c r="C37" i="3"/>
  <c r="H27" i="3"/>
  <c r="E26" i="3"/>
  <c r="E22" i="3"/>
  <c r="D22" i="3"/>
  <c r="G26" i="3"/>
  <c r="H31" i="3"/>
  <c r="H30" i="3"/>
  <c r="C35" i="3"/>
  <c r="H35" i="3"/>
  <c r="H37" i="3"/>
  <c r="H26" i="3"/>
  <c r="H39" i="3"/>
  <c r="F26" i="3"/>
  <c r="C26" i="3"/>
  <c r="H28" i="2"/>
  <c r="C31" i="2"/>
  <c r="C28" i="2"/>
  <c r="C10" i="2"/>
  <c r="C9" i="2"/>
  <c r="H16" i="2"/>
  <c r="H10" i="2"/>
  <c r="H18" i="2"/>
  <c r="H9" i="2"/>
  <c r="G28" i="2"/>
  <c r="D28" i="2"/>
  <c r="D10" i="2"/>
  <c r="D9" i="2"/>
  <c r="D12" i="1"/>
  <c r="D8" i="1"/>
  <c r="C8" i="1"/>
  <c r="C12" i="1"/>
  <c r="C7" i="1"/>
  <c r="D7" i="1"/>
  <c r="F108" i="5" l="1"/>
  <c r="D64" i="5"/>
  <c r="F64" i="5" s="1"/>
  <c r="F38" i="5" l="1"/>
  <c r="F8" i="5" s="1"/>
  <c r="F7" i="5" s="1"/>
  <c r="D38" i="5"/>
  <c r="D8" i="5" s="1"/>
  <c r="D7" i="5" s="1"/>
</calcChain>
</file>

<file path=xl/sharedStrings.xml><?xml version="1.0" encoding="utf-8"?>
<sst xmlns="http://schemas.openxmlformats.org/spreadsheetml/2006/main" count="389" uniqueCount="313">
  <si>
    <t>PHỤ LỤC SỐ 02</t>
  </si>
  <si>
    <t>CÂN ĐỐI NGÂN SÁCH CẤP XÃ NĂM 2025</t>
  </si>
  <si>
    <t>STT</t>
  </si>
  <si>
    <t>Nội dung</t>
  </si>
  <si>
    <t>I</t>
  </si>
  <si>
    <t>Nguồn thu ngân sách cấp xã</t>
  </si>
  <si>
    <t>Bổ sung từ ngân sách cấp tỉnh</t>
  </si>
  <si>
    <t xml:space="preserve"> - Bổ sung cân đối</t>
  </si>
  <si>
    <t xml:space="preserve"> - Bổ sung có mục tiêu</t>
  </si>
  <si>
    <t>II</t>
  </si>
  <si>
    <t>Chi ngân sách cấp xã</t>
  </si>
  <si>
    <t>Chi đầu tư</t>
  </si>
  <si>
    <t>Chi thường xuyên</t>
  </si>
  <si>
    <t>Trong đó: Chi giáo dục và Đào tạo</t>
  </si>
  <si>
    <t>Dự phòng ngân sách</t>
  </si>
  <si>
    <t>DT năm 2025</t>
  </si>
  <si>
    <t>DT tỉnh giao</t>
  </si>
  <si>
    <t>Xã giao</t>
  </si>
  <si>
    <t>Bao gồm số thu cộng gộp dự toán thu của các xã trước sắp xếp</t>
  </si>
  <si>
    <t>TỔNG THU NSNN TRÊN ĐỊA BÀN</t>
  </si>
  <si>
    <t>Thu khu vực công thương nghiệp ngoài quốc doanh</t>
  </si>
  <si>
    <t xml:space="preserve"> - Thuế VAT</t>
  </si>
  <si>
    <t xml:space="preserve"> - Thuế thu nhập doanh nghiệp</t>
  </si>
  <si>
    <t xml:space="preserve"> - Thuế tiêu thụ đặc biệt </t>
  </si>
  <si>
    <t xml:space="preserve"> - Thuế tài nguyên</t>
  </si>
  <si>
    <t>Lệ phí trước bạ</t>
  </si>
  <si>
    <t>Thuế sử đất phi nông nghiệp</t>
  </si>
  <si>
    <t>Thu tiền cho thuê mặt đất, mặt nước</t>
  </si>
  <si>
    <t>Tiền sử dụng đất</t>
  </si>
  <si>
    <t xml:space="preserve"> - Thu tiền đất đầu tư cơ sở hạ tầng</t>
  </si>
  <si>
    <t xml:space="preserve"> - Thu từ Dự án nhà ở thương mại</t>
  </si>
  <si>
    <t>Thu cấp quyền KTKS</t>
  </si>
  <si>
    <t xml:space="preserve">Thu phí và lệ phí </t>
  </si>
  <si>
    <t>Thuế thu nhập cá nhân</t>
  </si>
  <si>
    <t xml:space="preserve"> Thu khác </t>
  </si>
  <si>
    <t xml:space="preserve"> - Hoa lợi công sản NSX</t>
  </si>
  <si>
    <t xml:space="preserve"> - Các khoản thu khác </t>
  </si>
  <si>
    <t>Thu đóng góp</t>
  </si>
  <si>
    <t>TỔNG THU NGÂN SÁCH ĐỊA PHƯƠNG</t>
  </si>
  <si>
    <t>Các khoản thu 100%</t>
  </si>
  <si>
    <t>Thu phân chia theo tỷ lệ phần trăm (%)</t>
  </si>
  <si>
    <t>Thu bổ sung từ ngân sách cấp tỉnh</t>
  </si>
  <si>
    <t xml:space="preserve"> Trong đó: - Bổ sung cân đối</t>
  </si>
  <si>
    <t xml:space="preserve">                 - Bổ sung có mục tiêu</t>
  </si>
  <si>
    <t>Thu điều tiết từ các khoản thu do tỉnh quản lý</t>
  </si>
  <si>
    <t>Thu chuyển nguồn NS năm trước</t>
  </si>
  <si>
    <t>Thu kết dư NS năm trước</t>
  </si>
  <si>
    <t>Tỉnh giao</t>
  </si>
  <si>
    <t>ĐIỀU CHỈNH DỰ TOÁN CHI NGÂN SÁCH NHÀ NƯỚC XÃ NĂM 2025</t>
  </si>
  <si>
    <t>Chỉ tiêu</t>
  </si>
  <si>
    <t>Dự toán năm 2025 đã giao</t>
  </si>
  <si>
    <t>Dự toán tăng thêm (tỉnh giao)</t>
  </si>
  <si>
    <t>Tổng số</t>
  </si>
  <si>
    <t>Trong đó</t>
  </si>
  <si>
    <t>Điều chỉnh tăng nhiệm vụ chi</t>
  </si>
  <si>
    <t>A</t>
  </si>
  <si>
    <t>TỔNG SỐ THU NSĐP (I+II+III+IV)</t>
  </si>
  <si>
    <t>Trong đó: NSĐP được hưởng</t>
  </si>
  <si>
    <t xml:space="preserve"> Thu cân đối NSĐP trên địa bàn </t>
  </si>
  <si>
    <t xml:space="preserve"> Tiền cấp quyền sử dụng đất</t>
  </si>
  <si>
    <t xml:space="preserve">  Trong đó NSĐP hưởng</t>
  </si>
  <si>
    <t xml:space="preserve"> Các khoản thu cân đối còn lại</t>
  </si>
  <si>
    <t>III</t>
  </si>
  <si>
    <t>Thu chuyển nguồn CCTL năm trước chuyển sang</t>
  </si>
  <si>
    <t>IV</t>
  </si>
  <si>
    <t>Thu bổ sung từ ngân sách cấp trên</t>
  </si>
  <si>
    <t>Bổ sung cân đối</t>
  </si>
  <si>
    <t>Bổ sung có mục tiêu</t>
  </si>
  <si>
    <t>B</t>
  </si>
  <si>
    <t xml:space="preserve">TỔNG CHI CÂN ĐỐI NSNN </t>
  </si>
  <si>
    <t>Chi xây dựng cơ bản</t>
  </si>
  <si>
    <t>Vốn tập trung trong nước</t>
  </si>
  <si>
    <t>Vốn đầu tư từ nguồn SD đất</t>
  </si>
  <si>
    <t xml:space="preserve">Chi thường xuyên </t>
  </si>
  <si>
    <t>Chi sự nghiệp giáo dục-đào tạo</t>
  </si>
  <si>
    <t>Chi sự nghiệp y tế, dân số</t>
  </si>
  <si>
    <t>Chi Khoa học và công nghệ</t>
  </si>
  <si>
    <t>Chi SN phát thanh- truyền hình</t>
  </si>
  <si>
    <t>Chi sự nghiệp bảo vệ môi trường</t>
  </si>
  <si>
    <t>Chi sự nghiệp kinh tế</t>
  </si>
  <si>
    <t>Chi QLNN, đảng, đoàn thể</t>
  </si>
  <si>
    <t>Chi đảm bảo xã hội</t>
  </si>
  <si>
    <t>Chi khác ngân sách</t>
  </si>
  <si>
    <t xml:space="preserve"> Dự phòng ngân sách</t>
  </si>
  <si>
    <t>PHỤ LỤC SỐ 08</t>
  </si>
  <si>
    <t xml:space="preserve"> PHÂN BỔ DỰ TOÁN CHI  NGÂN SÁCH CÁC ĐƠN VỊ CẤP XÃ NĂM 2025</t>
  </si>
  <si>
    <t>Cơ quan, đơn vị</t>
  </si>
  <si>
    <t>Dự toán phân bổ cho các ngành thực hiện</t>
  </si>
  <si>
    <t>Ghi chú</t>
  </si>
  <si>
    <t>Dự toán điều chỉnh từ các xã trước sắp xếp</t>
  </si>
  <si>
    <t>Gồm</t>
  </si>
  <si>
    <t>Dự toán tỉnh giao tăng</t>
  </si>
  <si>
    <t>Số chưa thực hiện</t>
  </si>
  <si>
    <t>TỔNG CỘNG</t>
  </si>
  <si>
    <t>CHI ĐẦU TƯ PHÁT TRIỂN</t>
  </si>
  <si>
    <t xml:space="preserve"> - Nguồn thu tiền sử dụng đất</t>
  </si>
  <si>
    <t>Chi đầu tư hạ tầng các dự án tạo quỹ đất</t>
  </si>
  <si>
    <t>CHI THƯỜNG XUYÊN</t>
  </si>
  <si>
    <t>Dự toán chi các trường học trên địa bàn</t>
  </si>
  <si>
    <t>V</t>
  </si>
  <si>
    <t>VI</t>
  </si>
  <si>
    <t>VII</t>
  </si>
  <si>
    <t>VIII</t>
  </si>
  <si>
    <t>IX</t>
  </si>
  <si>
    <t>XI</t>
  </si>
  <si>
    <t>C</t>
  </si>
  <si>
    <t xml:space="preserve">DỰ PHÒNG NGÂN SÁCH </t>
  </si>
  <si>
    <t xml:space="preserve">Tổng dự toán 2025 </t>
  </si>
  <si>
    <t>Số bổ sung dự toán</t>
  </si>
  <si>
    <t>1=2+5</t>
  </si>
  <si>
    <t>2=3+4</t>
  </si>
  <si>
    <t>5=6+7</t>
  </si>
  <si>
    <t>PHÂN BỔ DỰ TOÁN CHI THƯỜNG XUYÊN NGÂN SÁCH CÁC ĐƠN VỊ XÃ NĂM 2025</t>
  </si>
  <si>
    <t>DỰ PHÒNG NGÂN SÁCH</t>
  </si>
  <si>
    <t>Đảm bảo xã hội</t>
  </si>
  <si>
    <t>PHỤ LỤC SỐ 01</t>
  </si>
  <si>
    <t>8=1-6-3</t>
  </si>
  <si>
    <t>Thu NSNN</t>
  </si>
  <si>
    <t>Thu NSĐP</t>
  </si>
  <si>
    <t xml:space="preserve"> - Các khoản thu ngân sách cấp xã hưởng 100%</t>
  </si>
  <si>
    <t xml:space="preserve"> - Các khoản thu phân chia NS cấp xã hưởng theo tỷ lệ phần trăm (%)</t>
  </si>
  <si>
    <t>Thu ngân sách cấp xã theo phân cấp</t>
  </si>
  <si>
    <t>Chi Quốc phòng, an ninh</t>
  </si>
  <si>
    <t>Chi văn hóa thông tin, TDTT</t>
  </si>
  <si>
    <t>Đơn vị: Nghìn đồng</t>
  </si>
  <si>
    <t>Điều chỉnh dự toán thu ngân sách nhà nước trên địa bàn</t>
  </si>
  <si>
    <t>Trong đó: Chi quốc phòng</t>
  </si>
  <si>
    <t>Kinh phí hỗ trợ trung tâm học tập cộng đồng</t>
  </si>
  <si>
    <t xml:space="preserve">Chế độ thực hiện các chính sách an sinh xã hội </t>
  </si>
  <si>
    <t>Chi khác sự nghiệp giáo dục và đào tạo</t>
  </si>
  <si>
    <t>BHYT cho các đối tượng</t>
  </si>
  <si>
    <t>Chế độ phụ cấp y tế thôn bản</t>
  </si>
  <si>
    <t>Chi sự nghiệp y tế khác</t>
  </si>
  <si>
    <t>KP chế độ bảo trợ xã hội, các đối tượng y tế BTXH và người cao tuổi,...</t>
  </si>
  <si>
    <t>KP bảo hiểm xã hội tự nguyện</t>
  </si>
  <si>
    <t>KP hỗ trợ tiền điện cho hộ nghèo và các đối tượng CS</t>
  </si>
  <si>
    <t xml:space="preserve">Số đã thực hiện 6 tháng đầu năm </t>
  </si>
  <si>
    <t>X</t>
  </si>
  <si>
    <t xml:space="preserve">                 Chi an ninh</t>
  </si>
  <si>
    <t>Xã Thanh Thạch</t>
  </si>
  <si>
    <t>Xã Hương Hóa</t>
  </si>
  <si>
    <t>Số đã thực hiện 6 tháng (số này phòng kinh tế tổng hợp quyết toán, không giao dự toán cho các đơn vị)</t>
  </si>
  <si>
    <t>PHỤ LỤC SỐ 05</t>
  </si>
  <si>
    <t>Chi sự nghiệp Y tế</t>
  </si>
  <si>
    <t>Chi SN VHTT, TDTT</t>
  </si>
  <si>
    <t>Chi Quốc phòng - An ninh</t>
  </si>
  <si>
    <t>Sự nghiệp giáo dục &amp;Đào tạo</t>
  </si>
  <si>
    <t>KP cải cách tiền lương (10% TK chi TX)</t>
  </si>
  <si>
    <t>Dự toán năm 2025 sau sắp xếp (Số liệu chuyển nguyên trạng chưa điều chỉnh)</t>
  </si>
  <si>
    <t>Biên chế giao</t>
  </si>
  <si>
    <t>Tổng kinh phí giao dự toán 2025</t>
  </si>
  <si>
    <t>Kinh phí đã phân bổ tiếp tục thực hiện</t>
  </si>
  <si>
    <t>Kinh phí còn lại giao dự toán</t>
  </si>
  <si>
    <t>Tổng cộng</t>
  </si>
  <si>
    <t>1.1</t>
  </si>
  <si>
    <t>Phòng Kinh tế</t>
  </si>
  <si>
    <t>Trong đó: Kinh phí theo dõi và tổng hợp quyết toán</t>
  </si>
  <si>
    <t>KP bảo vệ rừng tự nhiên đối với diện tích rừng do xã quản lý</t>
  </si>
  <si>
    <t>Các nhiệm vụ SNKT khác</t>
  </si>
  <si>
    <t>2.1</t>
  </si>
  <si>
    <t>Phòng Văn hóa - Xã hội</t>
  </si>
  <si>
    <t>Chi phụ cấp y tế thôn bản, cô đỡ thôn bản theo Nghị 
quyết số 77/2024/NQ-HĐND ngày 25/10/2024 (12 tháng)</t>
  </si>
  <si>
    <t>2.2</t>
  </si>
  <si>
    <t>Phòng Kinh tế (theo dõi quyết toán)</t>
  </si>
  <si>
    <t xml:space="preserve">Sự nghiệp y tế khác </t>
  </si>
  <si>
    <t>3.1</t>
  </si>
  <si>
    <t>3.2</t>
  </si>
  <si>
    <t>4.1</t>
  </si>
  <si>
    <t>4.2</t>
  </si>
  <si>
    <t>Ủy ban MTTQVN và các đoàn thể chính trị</t>
  </si>
  <si>
    <t>4.3</t>
  </si>
  <si>
    <t>Văn phòng HĐND và UBND</t>
  </si>
  <si>
    <t>4.4</t>
  </si>
  <si>
    <t>4.5</t>
  </si>
  <si>
    <t>4.6</t>
  </si>
  <si>
    <t>5.1</t>
  </si>
  <si>
    <t>Hoạt động quân sự quốc phòng</t>
  </si>
  <si>
    <t>Hoạt động ANTT</t>
  </si>
  <si>
    <t>5.2</t>
  </si>
  <si>
    <t>6.1</t>
  </si>
  <si>
    <t>6.2</t>
  </si>
  <si>
    <t>7.1</t>
  </si>
  <si>
    <t>Chi thường xuyên các trường học (chuyển tiếp nguyên trạng)</t>
  </si>
  <si>
    <t>7.2</t>
  </si>
  <si>
    <t>Chế độ an sinh xã hội thuộc sự nghiệp giáo dục</t>
  </si>
  <si>
    <t>Kinh phí Học bổng, chi phí học tập cho học sinh khuyết tật theo Thông tư liên tịch số 42/2013/TTLT-BGDĐT-BLĐTBXH-BTC</t>
  </si>
  <si>
    <t xml:space="preserve">Kinh phí thực hiện hính sách phát triển giáo dục mầm non Nghị định 105/2020/NĐ-CP của Chính phủ </t>
  </si>
  <si>
    <t>Hỗ trợ học sinh dân tộc ít người theo Nghị định số 57/2017/NĐ-CP</t>
  </si>
  <si>
    <t>Chính sách hỗ trợ chi phí học tập và miễn giảm học phí theo quy định tại Nghị định số 86/2015/NĐ-CP ngày 02/10/2015 và Nghị định số 81/2021/NĐ-CP ngày 27/08/2021; Nghị quyết số 165/NQ-CP ngày 20/12/2022 của Chính phủ</t>
  </si>
  <si>
    <t>Dự phòng tiền lương, nâng bậc lương thường xuyên, tăng biên chế; phụ cấp, trợ cấp và các chế độ, chính sách khác (bao gồm kinh phí chế độ hợp đồng và phụ cấp dạy khuyết tật)</t>
  </si>
  <si>
    <t>7.3</t>
  </si>
  <si>
    <t>KP trung tâm học tập công đồng</t>
  </si>
  <si>
    <t>7.4</t>
  </si>
  <si>
    <t>Trong đó: Theo dõi và quyết toán (KP trung tâm học tập công đồng)</t>
  </si>
  <si>
    <t>Trả nợ công trình: Mở rộng lề đường tuyến đường trung tâm xã Hương Hóa</t>
  </si>
  <si>
    <t>Kinh phí kiểm kê đất đai, lập bản đồ hiện trạng sử dụng đất</t>
  </si>
  <si>
    <t>Kinh phí quản lý bảo vệ rừng</t>
  </si>
  <si>
    <t>Kinh phí hỗ trợ nông dân đầu tư PTSX</t>
  </si>
  <si>
    <t>Kinh phí đối ứng chương trình MTQG giảm nghèo bền vững</t>
  </si>
  <si>
    <t>Kinh phí thực hiện chính sách miễn thủy lợi phí</t>
  </si>
  <si>
    <t>Kinh phí bảo vệ và phát triển đất trồng lúa theo Nghị định số 112/2024/NĐ-CP của Chính phủ</t>
  </si>
  <si>
    <t>Phòng kinh tế</t>
  </si>
  <si>
    <t>Kp mua thẻ BHYT cho các đối tượng</t>
  </si>
  <si>
    <t>Chi văn hóa văn nghệ</t>
  </si>
  <si>
    <t>Chi văn hóa thông tin tuyên truyền</t>
  </si>
  <si>
    <t>Chi thể dục thể thao</t>
  </si>
  <si>
    <t>Văn phòng Đảng ủy và các ban Đảng</t>
  </si>
  <si>
    <t>Trường Mầm non Hương Hóa</t>
  </si>
  <si>
    <t>Trường Mầm non Thanh Thạch</t>
  </si>
  <si>
    <t>Trường tiểu học Hương Hóa</t>
  </si>
  <si>
    <t>Trường tiểu học Thanh Thạch</t>
  </si>
  <si>
    <t>Trường THCS Hương Hóa</t>
  </si>
  <si>
    <t>Trường THCS Thanh Thạch</t>
  </si>
  <si>
    <t>KP đào tạo cán bộ</t>
  </si>
  <si>
    <t>7.5</t>
  </si>
  <si>
    <t>7.6</t>
  </si>
  <si>
    <t>7.7</t>
  </si>
  <si>
    <t>Kinh phí chi chung cho sự nghiệp giáo dục</t>
  </si>
  <si>
    <t>Tiết kiệm 10% chi TX 6 tháng cuối năm</t>
  </si>
  <si>
    <t>Trợ cấp hàng tháng cán bộ già yếu nghỉ việc</t>
  </si>
  <si>
    <t>KP thực hiện chế độ cho các đối tượng bảo trợ xã hội theo NĐ 136</t>
  </si>
  <si>
    <t>Kinh phí hỗ trợ tiền điện hộ nghèo và các ĐTXH</t>
  </si>
  <si>
    <t>Kinh phí bảo hiểm xã hội tự nguyện</t>
  </si>
  <si>
    <t>6.3</t>
  </si>
  <si>
    <t>6.4</t>
  </si>
  <si>
    <t>KP thăm hỏi đối tượng chính sách tiêu biều</t>
  </si>
  <si>
    <t>KP mai táng phí cho các đối tượng BTXH</t>
  </si>
  <si>
    <t>Quỹ lương Biên chế (17 người)</t>
  </si>
  <si>
    <t>Quỹ tiền thưởng theo Nghị định 73</t>
  </si>
  <si>
    <t>Kinh phí trợ cấp hàng tháng đối với Đảng viên 50 tuổi Đảng trở lên</t>
  </si>
  <si>
    <t>Phụ cấp trách nhiệm cấp uỷ viên cấp xã (23 đ/c x 6 tháng x 0,3)</t>
  </si>
  <si>
    <t>Kinh phí thực hiện theo Quyết định 99</t>
  </si>
  <si>
    <t>Kinh phí mua báo và tạp chí của Đảng</t>
  </si>
  <si>
    <t>Kinh phí Đại hội chi bộ (Cơ quan Đảng, Cơ quan UB, Công an, Quân sự)</t>
  </si>
  <si>
    <t>Kinh phí khen thưởng công tác Đảng</t>
  </si>
  <si>
    <t>Kinh phí hoạt động khác của VP Đảng ủy và các ban Đảng</t>
  </si>
  <si>
    <t>Kinh phí Đại hội Đảng</t>
  </si>
  <si>
    <t>Lương biên chế 6 người</t>
  </si>
  <si>
    <t>Quỹ tiền thưởng (hệ số lương ngạch bậc*MLCS*10%)</t>
  </si>
  <si>
    <t>KP phục vụ cuộc vận động toàn dân đoàn kết xây dựng NTM, đô thị văn minh; Ban thanh tra nhân dân</t>
  </si>
  <si>
    <t>Kinh phí đại hội mặt trận</t>
  </si>
  <si>
    <t>Kinh phí ban giám sát cộng đồng</t>
  </si>
  <si>
    <t>Kinh phí đại hội hội nông dân</t>
  </si>
  <si>
    <t>Kinh phí đại hội đoàn thanh niên</t>
  </si>
  <si>
    <t>Kinh phí đại hội hội phụ nữ</t>
  </si>
  <si>
    <t>Kinh phí đại hội hội cựu chiến binh</t>
  </si>
  <si>
    <t xml:space="preserve">Quỹ lương Biên chế 14 người </t>
  </si>
  <si>
    <t>Kinh phí chi trả chế độ theo nghị định 178</t>
  </si>
  <si>
    <t>Kinh phí phụ cấp cán bộ không chuyên trách cấp xã và cán bộ thôn, bản, tiểu khu thực hiện theo Nghị định số 34/2019/NĐ-CP; Nghị định số 24/2023/NĐ-CP; Nghị định số 33/2023/NĐ-CP; Nghị định số 73/2024/NĐ-CP</t>
  </si>
  <si>
    <t>Chi KP hỗ trợ đối với người trực tiếp tham gia công việc ở thôn</t>
  </si>
  <si>
    <t>Chi phụ cấp của ĐBHĐ</t>
  </si>
  <si>
    <t>Chi quản trang</t>
  </si>
  <si>
    <t>Kinh phí mua sắm tài sản</t>
  </si>
  <si>
    <t>Chi mua sắm phần mềm kế toán, PM bảo hiểm, chữ ký số phục vụ công việc kế toán</t>
  </si>
  <si>
    <t>Chi xăng xe ô tô phục vụ công việc</t>
  </si>
  <si>
    <t>Kinh phí hoạt động thường xuyên khác</t>
  </si>
  <si>
    <t>Kinh phí theo NQ số 02/2017/NQ-HĐND tỉnh Quảng Trị</t>
  </si>
  <si>
    <t>Quỹ lương biên chế (6 người)</t>
  </si>
  <si>
    <t>KP khen thưởng</t>
  </si>
  <si>
    <t>Công tác khuyến nông</t>
  </si>
  <si>
    <t>Công tác thú y, phòng chống dịch bệnh</t>
  </si>
  <si>
    <t>BCĐ 2 chương trình MTQG</t>
  </si>
  <si>
    <t>Ban chỉ huy phòng chống Thiên tai - Tìm kiếm cứu nạn</t>
  </si>
  <si>
    <t>Kinh phí duy trì bảo dưỡng đường truyền in thẻ CNQSDĐ</t>
  </si>
  <si>
    <t>KP phục vụ công tác thẩm định KH đầu tư công, xây dựng kế hoạch PTKTXH và dự toán, quyết toán ngân sách hàng năm</t>
  </si>
  <si>
    <t>Kinh phí hoạt động chung của ngành</t>
  </si>
  <si>
    <t>Quỹ lương biên chế 6 người</t>
  </si>
  <si>
    <t>Kinh phí khen thưởng thường xuyên</t>
  </si>
  <si>
    <t>Kinh phí viếng NTLS, bia di tích</t>
  </si>
  <si>
    <t>Công tác dân tộc tôn giáo</t>
  </si>
  <si>
    <t>Kinh phí hoa, quà khai giảng, 20/11</t>
  </si>
  <si>
    <t>Kinh phí phục vụ công tác cải cách hành chính</t>
  </si>
  <si>
    <t>Trung tâm phục vụ hành chính công</t>
  </si>
  <si>
    <t>Quỹ lương biên chế (4 người)</t>
  </si>
  <si>
    <t>Kinh phí phục vụ công tác xây dựng chính quyền điện tử</t>
  </si>
  <si>
    <t>Kinh phí in nội quy làm việc, đóng bảng niêm yết TTHC</t>
  </si>
  <si>
    <t>Kinh phí phục vụ công tác kiểm soát TTHC</t>
  </si>
  <si>
    <t>Kinh phí chi chung sự nghiệp đảm bảo xã hội</t>
  </si>
  <si>
    <t>6.5</t>
  </si>
  <si>
    <t>Đơn vị tính: 1000 đồng</t>
  </si>
  <si>
    <t>Bảo vệ cơ quan</t>
  </si>
  <si>
    <t>4.7</t>
  </si>
  <si>
    <t>4.8</t>
  </si>
  <si>
    <t>Tiết kiệm 10% chi thường xuyên 6 tháng cuối năm</t>
  </si>
  <si>
    <t>Kinh phí hoạt động khác của mặt trận</t>
  </si>
  <si>
    <t>Chi thường xuyên theo định mức (10.000.000đ/người/năm)</t>
  </si>
  <si>
    <t>Công việc 10.000.000đ/người (6 người)</t>
  </si>
  <si>
    <t>Công việc 10.000.000đ/người (14 người)</t>
  </si>
  <si>
    <t>Công việc 10.000.000/người/năm (6 người)</t>
  </si>
  <si>
    <t>Công việc 10.000.000/người (4 người)</t>
  </si>
  <si>
    <t>Công việc 10.000.000đ/người</t>
  </si>
  <si>
    <t>Chi công tác phổ cập giáo dục</t>
  </si>
  <si>
    <t>Kinh phí chưa phân bổ</t>
  </si>
  <si>
    <t>(Kèm theo Nghị quyết số          /NQ-HĐND ngày        tháng       năm 2025 của HĐND xã Tuyên Sơn)</t>
  </si>
  <si>
    <t>(Kèm theo Nghị quyết số         /NQ-HĐND ngày       tháng     năm 2025 của HĐND xã Tuyên Sơn)</t>
  </si>
  <si>
    <t>(Kèm theo Nghị quyết số:          /NQ-HĐND ngày        tháng   năm 2025 của HĐND xã Tuyên Sơn)</t>
  </si>
  <si>
    <t>(Kèm theo Nghị quyết số        /NQ-HĐND ngày        tháng       năm 2025 của HĐND xã Tuyên Sơn)</t>
  </si>
  <si>
    <t>(Kèm theo Nghị quyết số            /NQ-HĐND ngày        tháng    năm 2025 của HĐND xã Tuyên Sơn)</t>
  </si>
  <si>
    <t>ĐVT: Nghìn đồng</t>
  </si>
  <si>
    <t>Đvt: 1000 đồng</t>
  </si>
  <si>
    <t>PHỤ LỤC SỐ 03</t>
  </si>
  <si>
    <t>PHỤ LỤC SỐ 04</t>
  </si>
  <si>
    <t>KP PV công tác quản lý đối tượng và chi trả trợ cấp (bao gồm KP chi trả chính sách xã hội qua bưu điện)</t>
  </si>
  <si>
    <t>4.9</t>
  </si>
  <si>
    <t>Kinh phí thu hồi nộp trả cấp trên (SC hội trường UBND xã Thanh Thạch)</t>
  </si>
  <si>
    <t>Chính sách an sinh xã hội: Kinh phí huy hiệu Đảng, khen thưởng huy hiệu Đảng: 213,56 triệu đồng)</t>
  </si>
  <si>
    <t>Kinh phí nhiệm vụ chi chung</t>
  </si>
  <si>
    <t>4.10</t>
  </si>
  <si>
    <t>Chi chương trình MTQG</t>
  </si>
  <si>
    <t>D</t>
  </si>
  <si>
    <t>CHI CHƯƠNG TRÌNH MTQG</t>
  </si>
  <si>
    <t>CHI CÁC CHƯƠNG TRÌNH MTQG</t>
  </si>
  <si>
    <t>Chi lương hợp đồng theo Nghị định 111 (2 người)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</si>
</sst>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###,###,###"/>
    <numFmt numFmtId="168" formatCode="#,##0.0"/>
    <numFmt numFmtId="169" formatCode="#,##0.000"/>
    <numFmt numFmtId="170" formatCode="#,##0.000000"/>
    <numFmt numFmtId="171" formatCode="#,##0.0000000"/>
  </numFmts>
  <fonts count="6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indexed="8"/>
      <name val="Times New Roman"/>
      <family val="1"/>
    </font>
    <font>
      <b/>
      <sz val="14"/>
      <color indexed="8"/>
      <name val="Times New Roman"/>
      <family val="1"/>
    </font>
    <font>
      <i/>
      <sz val="14"/>
      <color indexed="8"/>
      <name val="Times New Roman"/>
      <family val="1"/>
    </font>
    <font>
      <i/>
      <sz val="13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4"/>
      <name val=".VnTime"/>
      <family val="2"/>
    </font>
    <font>
      <b/>
      <sz val="12"/>
      <color indexed="8"/>
      <name val="Times New Roman"/>
      <family val="1"/>
    </font>
    <font>
      <b/>
      <sz val="12"/>
      <name val=".VnTime"/>
      <family val="2"/>
    </font>
    <font>
      <sz val="12"/>
      <name val=".VnTime"/>
      <family val="2"/>
    </font>
    <font>
      <sz val="11"/>
      <color indexed="8"/>
      <name val="Times New Roman"/>
      <family val="1"/>
    </font>
    <font>
      <sz val="11"/>
      <name val=".VnTime"/>
      <family val="2"/>
    </font>
    <font>
      <b/>
      <sz val="11"/>
      <name val=".VnTime"/>
      <family val="2"/>
    </font>
    <font>
      <b/>
      <sz val="13"/>
      <name val="Times New Roman"/>
      <family val="1"/>
    </font>
    <font>
      <i/>
      <sz val="14"/>
      <name val="Times New Roman"/>
      <family val="1"/>
    </font>
    <font>
      <sz val="14"/>
      <name val=".VnTime"/>
      <family val="2"/>
    </font>
    <font>
      <sz val="10"/>
      <color indexed="8"/>
      <name val="Times New Roman"/>
      <family val="1"/>
    </font>
    <font>
      <sz val="10"/>
      <color rgb="FFFF0000"/>
      <name val="Times New Roman"/>
      <family val="1"/>
    </font>
    <font>
      <sz val="10"/>
      <name val="Times New Roman"/>
      <family val="1"/>
    </font>
    <font>
      <sz val="12"/>
      <name val="Arial"/>
      <family val="2"/>
    </font>
    <font>
      <b/>
      <sz val="14"/>
      <color theme="1"/>
      <name val="Times New Roman"/>
      <family val="1"/>
    </font>
    <font>
      <i/>
      <sz val="11"/>
      <name val="Times New Roman"/>
      <family val="1"/>
    </font>
    <font>
      <i/>
      <sz val="10"/>
      <color indexed="8"/>
      <name val="Times New Roman"/>
      <family val="1"/>
    </font>
    <font>
      <b/>
      <sz val="11"/>
      <color rgb="FFFF0000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i/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b/>
      <sz val="13"/>
      <color theme="0"/>
      <name val="Times New Roman"/>
      <family val="1"/>
    </font>
    <font>
      <sz val="14"/>
      <color theme="0"/>
      <name val=".VnTime"/>
      <family val="2"/>
    </font>
    <font>
      <sz val="14"/>
      <name val="Times New Roman"/>
      <family val="1"/>
    </font>
    <font>
      <b/>
      <sz val="14"/>
      <name val="Times New Roman"/>
      <family val="1"/>
    </font>
    <font>
      <i/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3"/>
      <name val="Times New Roman"/>
      <family val="1"/>
    </font>
    <font>
      <b/>
      <sz val="10.5"/>
      <name val="Times New Roman"/>
      <family val="1"/>
    </font>
    <font>
      <sz val="10.5"/>
      <name val="Times New Roman"/>
      <family val="1"/>
    </font>
    <font>
      <sz val="11"/>
      <color indexed="8"/>
      <name val="Calibri"/>
      <family val="2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indexed="8"/>
      <name val="Times New Roman"/>
      <family val="1"/>
    </font>
    <font>
      <b/>
      <sz val="12"/>
      <color theme="1"/>
      <name val="Calibri"/>
      <family val="2"/>
      <scheme val="minor"/>
    </font>
    <font>
      <b/>
      <sz val="10"/>
      <name val="Times New Roman"/>
      <family val="1"/>
    </font>
    <font>
      <i/>
      <sz val="10"/>
      <name val="Times New Roman"/>
      <family val="1"/>
    </font>
    <font>
      <sz val="11"/>
      <name val="Calibri"/>
      <family val="2"/>
      <scheme val="minor"/>
    </font>
    <font>
      <b/>
      <sz val="10"/>
      <name val=".VnTime"/>
      <family val="2"/>
    </font>
    <font>
      <sz val="10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i/>
      <sz val="11"/>
      <name val=".VnTime"/>
      <family val="2"/>
    </font>
    <font>
      <sz val="8"/>
      <name val="Calibri"/>
      <family val="2"/>
      <scheme val="minor"/>
    </font>
    <font>
      <b/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dotted">
        <color indexed="64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0" fontId="21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0" fontId="17" fillId="0" borderId="0"/>
    <xf numFmtId="0" fontId="38" fillId="0" borderId="0"/>
    <xf numFmtId="0" fontId="1" fillId="0" borderId="0"/>
    <xf numFmtId="0" fontId="38" fillId="0" borderId="0"/>
    <xf numFmtId="164" fontId="44" fillId="0" borderId="0" applyFont="0" applyFill="0" applyBorder="0" applyAlignment="0" applyProtection="0"/>
    <xf numFmtId="0" fontId="17" fillId="0" borderId="0"/>
    <xf numFmtId="164" fontId="1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57" fillId="0" borderId="0" applyFont="0" applyFill="0" applyBorder="0" applyAlignment="0" applyProtection="0"/>
  </cellStyleXfs>
  <cellXfs count="313">
    <xf numFmtId="0" fontId="0" fillId="0" borderId="0" xfId="0"/>
    <xf numFmtId="0" fontId="6" fillId="0" borderId="0" xfId="0" applyFont="1" applyAlignment="1">
      <alignment horizontal="right"/>
    </xf>
    <xf numFmtId="0" fontId="8" fillId="0" borderId="0" xfId="0" applyFont="1"/>
    <xf numFmtId="0" fontId="9" fillId="0" borderId="3" xfId="0" applyFont="1" applyBorder="1" applyAlignment="1">
      <alignment horizontal="center" vertical="top" wrapText="1"/>
    </xf>
    <xf numFmtId="0" fontId="9" fillId="0" borderId="3" xfId="0" applyFont="1" applyBorder="1" applyAlignment="1">
      <alignment vertical="top" wrapText="1"/>
    </xf>
    <xf numFmtId="0" fontId="10" fillId="0" borderId="0" xfId="0" applyFont="1"/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11" fillId="0" borderId="0" xfId="0" applyFont="1"/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vertical="top" wrapText="1"/>
    </xf>
    <xf numFmtId="0" fontId="13" fillId="0" borderId="0" xfId="0" applyFont="1"/>
    <xf numFmtId="0" fontId="7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vertical="top" wrapText="1"/>
    </xf>
    <xf numFmtId="0" fontId="14" fillId="0" borderId="0" xfId="0" applyFont="1"/>
    <xf numFmtId="0" fontId="6" fillId="0" borderId="0" xfId="0" applyFont="1"/>
    <xf numFmtId="3" fontId="0" fillId="0" borderId="0" xfId="0" applyNumberFormat="1"/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top" wrapText="1"/>
    </xf>
    <xf numFmtId="0" fontId="9" fillId="0" borderId="7" xfId="0" applyFont="1" applyBorder="1" applyAlignment="1">
      <alignment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7" xfId="0" applyFont="1" applyBorder="1" applyAlignment="1">
      <alignment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8" xfId="0" applyFont="1" applyBorder="1" applyAlignment="1">
      <alignment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7" xfId="0" applyFont="1" applyBorder="1" applyAlignment="1">
      <alignment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9" xfId="0" applyFont="1" applyBorder="1" applyAlignment="1">
      <alignment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18" fillId="2" borderId="0" xfId="0" applyFont="1" applyFill="1"/>
    <xf numFmtId="3" fontId="18" fillId="2" borderId="0" xfId="0" applyNumberFormat="1" applyFont="1" applyFill="1"/>
    <xf numFmtId="3" fontId="19" fillId="2" borderId="0" xfId="0" applyNumberFormat="1" applyFont="1" applyFill="1"/>
    <xf numFmtId="0" fontId="24" fillId="2" borderId="0" xfId="2" applyFont="1" applyFill="1" applyAlignment="1">
      <alignment horizontal="center"/>
    </xf>
    <xf numFmtId="3" fontId="24" fillId="2" borderId="0" xfId="2" applyNumberFormat="1" applyFont="1" applyFill="1" applyAlignment="1">
      <alignment horizontal="center"/>
    </xf>
    <xf numFmtId="3" fontId="7" fillId="2" borderId="0" xfId="0" applyNumberFormat="1" applyFont="1" applyFill="1" applyAlignment="1">
      <alignment horizontal="center" vertical="center" wrapText="1"/>
    </xf>
    <xf numFmtId="3" fontId="25" fillId="2" borderId="0" xfId="0" applyNumberFormat="1" applyFont="1" applyFill="1" applyAlignment="1">
      <alignment horizontal="center" vertical="center" wrapText="1"/>
    </xf>
    <xf numFmtId="0" fontId="27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left" vertical="center" wrapText="1"/>
    </xf>
    <xf numFmtId="3" fontId="7" fillId="2" borderId="5" xfId="0" applyNumberFormat="1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2" fillId="2" borderId="5" xfId="2" applyFont="1" applyFill="1" applyBorder="1" applyAlignment="1">
      <alignment horizontal="center" vertical="center" wrapText="1"/>
    </xf>
    <xf numFmtId="167" fontId="12" fillId="2" borderId="5" xfId="2" applyNumberFormat="1" applyFont="1" applyFill="1" applyBorder="1" applyAlignment="1">
      <alignment vertical="center" wrapText="1"/>
    </xf>
    <xf numFmtId="3" fontId="12" fillId="2" borderId="5" xfId="0" applyNumberFormat="1" applyFont="1" applyFill="1" applyBorder="1" applyAlignment="1">
      <alignment vertical="center" wrapText="1"/>
    </xf>
    <xf numFmtId="0" fontId="29" fillId="3" borderId="0" xfId="0" applyFont="1" applyFill="1" applyAlignment="1">
      <alignment vertical="center" wrapText="1"/>
    </xf>
    <xf numFmtId="0" fontId="12" fillId="2" borderId="0" xfId="0" applyFont="1" applyFill="1" applyAlignment="1">
      <alignment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12" fillId="2" borderId="5" xfId="2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29" fillId="2" borderId="0" xfId="0" applyFont="1" applyFill="1" applyAlignment="1">
      <alignment vertical="center" wrapText="1"/>
    </xf>
    <xf numFmtId="0" fontId="12" fillId="2" borderId="5" xfId="2" applyFont="1" applyFill="1" applyBorder="1" applyAlignment="1">
      <alignment vertical="center" wrapText="1"/>
    </xf>
    <xf numFmtId="0" fontId="30" fillId="2" borderId="0" xfId="0" applyFont="1" applyFill="1" applyAlignment="1">
      <alignment vertical="center" wrapText="1"/>
    </xf>
    <xf numFmtId="0" fontId="31" fillId="2" borderId="5" xfId="2" applyFont="1" applyFill="1" applyBorder="1" applyAlignment="1">
      <alignment horizontal="center" vertical="center" wrapText="1"/>
    </xf>
    <xf numFmtId="0" fontId="31" fillId="2" borderId="5" xfId="2" applyFont="1" applyFill="1" applyBorder="1" applyAlignment="1">
      <alignment horizontal="left" vertical="center" wrapText="1"/>
    </xf>
    <xf numFmtId="0" fontId="31" fillId="2" borderId="0" xfId="0" applyFont="1" applyFill="1" applyAlignment="1">
      <alignment vertical="center" wrapText="1"/>
    </xf>
    <xf numFmtId="0" fontId="27" fillId="2" borderId="5" xfId="2" applyFont="1" applyFill="1" applyBorder="1" applyAlignment="1">
      <alignment horizontal="center" vertical="center" wrapText="1"/>
    </xf>
    <xf numFmtId="0" fontId="27" fillId="2" borderId="5" xfId="2" applyFont="1" applyFill="1" applyBorder="1" applyAlignment="1">
      <alignment horizontal="left" vertical="center" wrapText="1"/>
    </xf>
    <xf numFmtId="0" fontId="27" fillId="2" borderId="0" xfId="0" applyFont="1" applyFill="1" applyAlignment="1">
      <alignment vertical="center" wrapText="1"/>
    </xf>
    <xf numFmtId="0" fontId="27" fillId="2" borderId="5" xfId="0" applyFont="1" applyFill="1" applyBorder="1" applyAlignment="1">
      <alignment vertical="center" wrapText="1"/>
    </xf>
    <xf numFmtId="0" fontId="18" fillId="2" borderId="0" xfId="2" applyFont="1" applyFill="1" applyAlignment="1">
      <alignment horizontal="center"/>
    </xf>
    <xf numFmtId="0" fontId="18" fillId="2" borderId="0" xfId="2" applyFont="1" applyFill="1"/>
    <xf numFmtId="3" fontId="12" fillId="2" borderId="0" xfId="0" applyNumberFormat="1" applyFont="1" applyFill="1"/>
    <xf numFmtId="3" fontId="29" fillId="2" borderId="0" xfId="0" applyNumberFormat="1" applyFont="1" applyFill="1"/>
    <xf numFmtId="0" fontId="33" fillId="0" borderId="0" xfId="4" applyFont="1"/>
    <xf numFmtId="0" fontId="34" fillId="0" borderId="0" xfId="4" applyFont="1"/>
    <xf numFmtId="0" fontId="17" fillId="0" borderId="0" xfId="4"/>
    <xf numFmtId="165" fontId="34" fillId="0" borderId="0" xfId="4" applyNumberFormat="1" applyFont="1"/>
    <xf numFmtId="0" fontId="36" fillId="0" borderId="11" xfId="4" applyFont="1" applyBorder="1" applyAlignment="1">
      <alignment vertical="center" wrapText="1"/>
    </xf>
    <xf numFmtId="0" fontId="8" fillId="0" borderId="0" xfId="4" applyFont="1"/>
    <xf numFmtId="0" fontId="11" fillId="0" borderId="0" xfId="4" applyFont="1"/>
    <xf numFmtId="0" fontId="10" fillId="0" borderId="0" xfId="4" applyFont="1"/>
    <xf numFmtId="0" fontId="41" fillId="0" borderId="0" xfId="9" applyFont="1"/>
    <xf numFmtId="0" fontId="28" fillId="0" borderId="0" xfId="9" applyFont="1"/>
    <xf numFmtId="165" fontId="40" fillId="0" borderId="11" xfId="9" applyNumberFormat="1" applyFont="1" applyBorder="1"/>
    <xf numFmtId="0" fontId="39" fillId="0" borderId="0" xfId="9" applyFont="1"/>
    <xf numFmtId="0" fontId="42" fillId="0" borderId="0" xfId="9" applyFont="1" applyAlignment="1">
      <alignment horizontal="center" vertical="center" wrapText="1"/>
    </xf>
    <xf numFmtId="0" fontId="42" fillId="0" borderId="0" xfId="9" applyFont="1"/>
    <xf numFmtId="0" fontId="43" fillId="0" borderId="0" xfId="9" applyFont="1"/>
    <xf numFmtId="0" fontId="20" fillId="0" borderId="0" xfId="9" applyFont="1"/>
    <xf numFmtId="165" fontId="9" fillId="0" borderId="3" xfId="1" applyNumberFormat="1" applyFont="1" applyBorder="1" applyAlignment="1">
      <alignment vertical="top" wrapText="1"/>
    </xf>
    <xf numFmtId="165" fontId="12" fillId="0" borderId="4" xfId="1" applyNumberFormat="1" applyFont="1" applyBorder="1" applyAlignment="1">
      <alignment vertical="top" wrapText="1"/>
    </xf>
    <xf numFmtId="165" fontId="7" fillId="0" borderId="4" xfId="1" applyNumberFormat="1" applyFont="1" applyBorder="1" applyAlignment="1">
      <alignment vertical="top" wrapText="1"/>
    </xf>
    <xf numFmtId="165" fontId="11" fillId="0" borderId="0" xfId="0" applyNumberFormat="1" applyFont="1"/>
    <xf numFmtId="0" fontId="46" fillId="0" borderId="0" xfId="0" applyFont="1"/>
    <xf numFmtId="0" fontId="20" fillId="0" borderId="0" xfId="0" applyFont="1"/>
    <xf numFmtId="0" fontId="12" fillId="0" borderId="10" xfId="0" applyFont="1" applyBorder="1" applyAlignment="1">
      <alignment horizontal="center" vertical="top" wrapText="1"/>
    </xf>
    <xf numFmtId="3" fontId="26" fillId="0" borderId="5" xfId="1" applyNumberFormat="1" applyFont="1" applyFill="1" applyBorder="1" applyAlignment="1">
      <alignment vertical="center" wrapText="1"/>
    </xf>
    <xf numFmtId="3" fontId="28" fillId="0" borderId="5" xfId="1" applyNumberFormat="1" applyFont="1" applyFill="1" applyBorder="1" applyAlignment="1">
      <alignment vertical="center" wrapText="1"/>
    </xf>
    <xf numFmtId="3" fontId="26" fillId="0" borderId="15" xfId="1" applyNumberFormat="1" applyFont="1" applyFill="1" applyBorder="1" applyAlignment="1">
      <alignment vertical="center" wrapText="1"/>
    </xf>
    <xf numFmtId="3" fontId="12" fillId="0" borderId="5" xfId="1" applyNumberFormat="1" applyFont="1" applyBorder="1" applyAlignment="1">
      <alignment vertical="center" wrapText="1"/>
    </xf>
    <xf numFmtId="3" fontId="12" fillId="0" borderId="5" xfId="1" applyNumberFormat="1" applyFont="1" applyBorder="1" applyAlignment="1">
      <alignment vertical="center"/>
    </xf>
    <xf numFmtId="3" fontId="7" fillId="0" borderId="5" xfId="1" applyNumberFormat="1" applyFont="1" applyBorder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168" fontId="26" fillId="0" borderId="15" xfId="1" applyNumberFormat="1" applyFont="1" applyFill="1" applyBorder="1" applyAlignment="1">
      <alignment vertical="center" wrapText="1"/>
    </xf>
    <xf numFmtId="165" fontId="37" fillId="0" borderId="1" xfId="4" applyNumberFormat="1" applyFont="1" applyBorder="1" applyAlignment="1">
      <alignment horizontal="center" vertical="center" wrapText="1"/>
    </xf>
    <xf numFmtId="3" fontId="47" fillId="0" borderId="7" xfId="0" applyNumberFormat="1" applyFont="1" applyBorder="1" applyAlignment="1">
      <alignment horizontal="right" vertical="top" wrapText="1"/>
    </xf>
    <xf numFmtId="3" fontId="18" fillId="0" borderId="7" xfId="0" applyNumberFormat="1" applyFont="1" applyBorder="1" applyAlignment="1">
      <alignment horizontal="right" vertical="top" wrapText="1"/>
    </xf>
    <xf numFmtId="3" fontId="18" fillId="0" borderId="7" xfId="1" applyNumberFormat="1" applyFont="1" applyBorder="1" applyAlignment="1">
      <alignment horizontal="right" vertical="top" wrapText="1"/>
    </xf>
    <xf numFmtId="3" fontId="47" fillId="2" borderId="7" xfId="0" applyNumberFormat="1" applyFont="1" applyFill="1" applyBorder="1" applyAlignment="1">
      <alignment horizontal="right" vertical="top" wrapText="1"/>
    </xf>
    <xf numFmtId="3" fontId="47" fillId="0" borderId="7" xfId="1" applyNumberFormat="1" applyFont="1" applyBorder="1" applyAlignment="1">
      <alignment horizontal="right" vertical="top" wrapText="1"/>
    </xf>
    <xf numFmtId="165" fontId="47" fillId="0" borderId="7" xfId="1" applyNumberFormat="1" applyFont="1" applyBorder="1" applyAlignment="1">
      <alignment horizontal="right" vertical="top" wrapText="1"/>
    </xf>
    <xf numFmtId="3" fontId="18" fillId="2" borderId="7" xfId="0" applyNumberFormat="1" applyFont="1" applyFill="1" applyBorder="1" applyAlignment="1">
      <alignment horizontal="right" vertical="top" wrapText="1"/>
    </xf>
    <xf numFmtId="3" fontId="18" fillId="0" borderId="8" xfId="0" applyNumberFormat="1" applyFont="1" applyBorder="1" applyAlignment="1">
      <alignment horizontal="right" vertical="top" wrapText="1"/>
    </xf>
    <xf numFmtId="165" fontId="18" fillId="0" borderId="8" xfId="1" applyNumberFormat="1" applyFont="1" applyBorder="1" applyAlignment="1">
      <alignment horizontal="right" vertical="top" wrapText="1"/>
    </xf>
    <xf numFmtId="166" fontId="47" fillId="0" borderId="7" xfId="1" applyNumberFormat="1" applyFont="1" applyBorder="1" applyAlignment="1">
      <alignment horizontal="right" vertical="top" wrapText="1"/>
    </xf>
    <xf numFmtId="165" fontId="18" fillId="0" borderId="7" xfId="1" applyNumberFormat="1" applyFont="1" applyBorder="1" applyAlignment="1">
      <alignment horizontal="right" vertical="top" wrapText="1"/>
    </xf>
    <xf numFmtId="166" fontId="18" fillId="0" borderId="7" xfId="1" applyNumberFormat="1" applyFont="1" applyBorder="1" applyAlignment="1">
      <alignment horizontal="right" vertical="top" wrapText="1"/>
    </xf>
    <xf numFmtId="0" fontId="18" fillId="0" borderId="9" xfId="0" applyFont="1" applyBorder="1" applyAlignment="1">
      <alignment horizontal="right" vertical="top" wrapText="1"/>
    </xf>
    <xf numFmtId="166" fontId="18" fillId="0" borderId="9" xfId="1" applyNumberFormat="1" applyFont="1" applyBorder="1" applyAlignment="1">
      <alignment horizontal="right" vertical="top" wrapText="1"/>
    </xf>
    <xf numFmtId="0" fontId="49" fillId="0" borderId="0" xfId="0" applyFont="1"/>
    <xf numFmtId="3" fontId="50" fillId="2" borderId="0" xfId="0" applyNumberFormat="1" applyFont="1" applyFill="1" applyAlignment="1">
      <alignment horizontal="right" vertical="center"/>
    </xf>
    <xf numFmtId="0" fontId="35" fillId="0" borderId="15" xfId="4" applyFont="1" applyBorder="1" applyAlignment="1">
      <alignment horizontal="center" vertical="top" wrapText="1"/>
    </xf>
    <xf numFmtId="0" fontId="37" fillId="0" borderId="15" xfId="4" applyFont="1" applyBorder="1" applyAlignment="1">
      <alignment horizontal="center" vertical="top" wrapText="1"/>
    </xf>
    <xf numFmtId="0" fontId="37" fillId="0" borderId="15" xfId="4" applyFont="1" applyBorder="1" applyAlignment="1">
      <alignment vertical="top" wrapText="1"/>
    </xf>
    <xf numFmtId="0" fontId="38" fillId="0" borderId="15" xfId="4" applyFont="1" applyBorder="1" applyAlignment="1">
      <alignment horizontal="center" vertical="top" wrapText="1"/>
    </xf>
    <xf numFmtId="0" fontId="38" fillId="0" borderId="15" xfId="4" applyFont="1" applyBorder="1" applyAlignment="1">
      <alignment vertical="top" wrapText="1"/>
    </xf>
    <xf numFmtId="0" fontId="45" fillId="2" borderId="15" xfId="2" applyFont="1" applyFill="1" applyBorder="1" applyAlignment="1">
      <alignment horizontal="left" vertical="center" wrapText="1"/>
    </xf>
    <xf numFmtId="0" fontId="34" fillId="0" borderId="15" xfId="4" applyFont="1" applyBorder="1" applyAlignment="1">
      <alignment horizontal="center" vertical="top" wrapText="1"/>
    </xf>
    <xf numFmtId="0" fontId="51" fillId="0" borderId="15" xfId="0" applyFont="1" applyBorder="1" applyAlignment="1">
      <alignment vertical="center" wrapText="1"/>
    </xf>
    <xf numFmtId="3" fontId="37" fillId="0" borderId="15" xfId="5" applyNumberFormat="1" applyFont="1" applyFill="1" applyBorder="1" applyAlignment="1">
      <alignment horizontal="right" vertical="center"/>
    </xf>
    <xf numFmtId="3" fontId="38" fillId="0" borderId="15" xfId="5" applyNumberFormat="1" applyFont="1" applyFill="1" applyBorder="1" applyAlignment="1">
      <alignment horizontal="right" vertical="center"/>
    </xf>
    <xf numFmtId="3" fontId="38" fillId="0" borderId="15" xfId="5" applyNumberFormat="1" applyFont="1" applyFill="1" applyBorder="1" applyAlignment="1">
      <alignment vertical="center"/>
    </xf>
    <xf numFmtId="3" fontId="37" fillId="0" borderId="15" xfId="5" applyNumberFormat="1" applyFont="1" applyFill="1" applyBorder="1" applyAlignment="1">
      <alignment vertical="center"/>
    </xf>
    <xf numFmtId="3" fontId="37" fillId="0" borderId="15" xfId="5" applyNumberFormat="1" applyFont="1" applyFill="1" applyBorder="1" applyAlignment="1">
      <alignment horizontal="left" vertical="center"/>
    </xf>
    <xf numFmtId="3" fontId="38" fillId="0" borderId="15" xfId="5" applyNumberFormat="1" applyFont="1" applyFill="1" applyBorder="1" applyAlignment="1">
      <alignment horizontal="left" vertical="center"/>
    </xf>
    <xf numFmtId="3" fontId="37" fillId="0" borderId="16" xfId="5" applyNumberFormat="1" applyFont="1" applyFill="1" applyBorder="1" applyAlignment="1">
      <alignment horizontal="right" vertical="center"/>
    </xf>
    <xf numFmtId="3" fontId="38" fillId="0" borderId="16" xfId="5" applyNumberFormat="1" applyFont="1" applyFill="1" applyBorder="1" applyAlignment="1">
      <alignment horizontal="left" vertical="center"/>
    </xf>
    <xf numFmtId="0" fontId="35" fillId="0" borderId="20" xfId="4" applyFont="1" applyBorder="1" applyAlignment="1">
      <alignment horizontal="center" vertical="top" wrapText="1"/>
    </xf>
    <xf numFmtId="3" fontId="37" fillId="0" borderId="20" xfId="5" applyNumberFormat="1" applyFont="1" applyFill="1" applyBorder="1" applyAlignment="1">
      <alignment horizontal="right" vertical="center"/>
    </xf>
    <xf numFmtId="0" fontId="37" fillId="0" borderId="5" xfId="4" applyFont="1" applyBorder="1" applyAlignment="1">
      <alignment horizontal="center" vertical="center" wrapText="1"/>
    </xf>
    <xf numFmtId="165" fontId="37" fillId="0" borderId="5" xfId="4" applyNumberFormat="1" applyFont="1" applyBorder="1" applyAlignment="1">
      <alignment horizontal="center" vertical="center" wrapText="1"/>
    </xf>
    <xf numFmtId="3" fontId="52" fillId="0" borderId="7" xfId="0" applyNumberFormat="1" applyFont="1" applyBorder="1" applyAlignment="1">
      <alignment horizontal="right" vertical="top" wrapText="1"/>
    </xf>
    <xf numFmtId="3" fontId="20" fillId="0" borderId="7" xfId="0" applyNumberFormat="1" applyFont="1" applyBorder="1" applyAlignment="1">
      <alignment horizontal="right" vertical="top" wrapText="1"/>
    </xf>
    <xf numFmtId="169" fontId="20" fillId="0" borderId="7" xfId="0" applyNumberFormat="1" applyFont="1" applyBorder="1" applyAlignment="1">
      <alignment horizontal="right" vertical="top" wrapText="1"/>
    </xf>
    <xf numFmtId="165" fontId="20" fillId="0" borderId="7" xfId="1" applyNumberFormat="1" applyFont="1" applyBorder="1" applyAlignment="1">
      <alignment horizontal="right" vertical="top" wrapText="1"/>
    </xf>
    <xf numFmtId="168" fontId="28" fillId="0" borderId="5" xfId="1" applyNumberFormat="1" applyFont="1" applyFill="1" applyBorder="1" applyAlignment="1">
      <alignment vertical="center" wrapText="1"/>
    </xf>
    <xf numFmtId="168" fontId="26" fillId="0" borderId="5" xfId="1" applyNumberFormat="1" applyFont="1" applyFill="1" applyBorder="1" applyAlignment="1">
      <alignment vertical="center" wrapText="1"/>
    </xf>
    <xf numFmtId="0" fontId="37" fillId="2" borderId="15" xfId="2" applyFont="1" applyFill="1" applyBorder="1" applyAlignment="1">
      <alignment horizontal="left" vertical="center" wrapText="1"/>
    </xf>
    <xf numFmtId="0" fontId="37" fillId="2" borderId="15" xfId="0" applyFont="1" applyFill="1" applyBorder="1" applyAlignment="1">
      <alignment vertical="center" wrapText="1"/>
    </xf>
    <xf numFmtId="3" fontId="37" fillId="0" borderId="15" xfId="1" applyNumberFormat="1" applyFont="1" applyFill="1" applyBorder="1"/>
    <xf numFmtId="0" fontId="38" fillId="2" borderId="15" xfId="2" applyFont="1" applyFill="1" applyBorder="1" applyAlignment="1">
      <alignment horizontal="left" vertical="center" wrapText="1"/>
    </xf>
    <xf numFmtId="3" fontId="38" fillId="0" borderId="15" xfId="1" applyNumberFormat="1" applyFont="1" applyFill="1" applyBorder="1"/>
    <xf numFmtId="3" fontId="37" fillId="0" borderId="16" xfId="1" applyNumberFormat="1" applyFont="1" applyFill="1" applyBorder="1"/>
    <xf numFmtId="0" fontId="38" fillId="0" borderId="3" xfId="0" applyFont="1" applyBorder="1" applyAlignment="1">
      <alignment horizontal="center" vertical="top" wrapText="1"/>
    </xf>
    <xf numFmtId="0" fontId="38" fillId="0" borderId="3" xfId="0" applyFont="1" applyBorder="1" applyAlignment="1">
      <alignment vertical="top" wrapText="1"/>
    </xf>
    <xf numFmtId="165" fontId="38" fillId="0" borderId="3" xfId="1" applyNumberFormat="1" applyFont="1" applyBorder="1" applyAlignment="1">
      <alignment vertical="top" wrapText="1"/>
    </xf>
    <xf numFmtId="0" fontId="28" fillId="0" borderId="4" xfId="0" applyFont="1" applyBorder="1" applyAlignment="1">
      <alignment horizontal="center" vertical="top" wrapText="1"/>
    </xf>
    <xf numFmtId="0" fontId="28" fillId="0" borderId="4" xfId="0" applyFont="1" applyBorder="1" applyAlignment="1">
      <alignment vertical="top" wrapText="1"/>
    </xf>
    <xf numFmtId="165" fontId="28" fillId="0" borderId="4" xfId="1" applyNumberFormat="1" applyFont="1" applyBorder="1" applyAlignment="1">
      <alignment vertical="top" wrapText="1"/>
    </xf>
    <xf numFmtId="0" fontId="54" fillId="0" borderId="0" xfId="0" applyFont="1"/>
    <xf numFmtId="0" fontId="39" fillId="0" borderId="0" xfId="0" applyFont="1" applyAlignment="1">
      <alignment horizontal="right"/>
    </xf>
    <xf numFmtId="3" fontId="20" fillId="0" borderId="8" xfId="0" applyNumberFormat="1" applyFont="1" applyBorder="1" applyAlignment="1">
      <alignment horizontal="right" vertical="top" wrapText="1"/>
    </xf>
    <xf numFmtId="0" fontId="55" fillId="0" borderId="15" xfId="0" applyFont="1" applyBorder="1"/>
    <xf numFmtId="0" fontId="38" fillId="2" borderId="15" xfId="0" applyFont="1" applyFill="1" applyBorder="1"/>
    <xf numFmtId="165" fontId="38" fillId="0" borderId="4" xfId="1" applyNumberFormat="1" applyFont="1" applyBorder="1" applyAlignment="1">
      <alignment vertical="top" wrapText="1"/>
    </xf>
    <xf numFmtId="165" fontId="6" fillId="0" borderId="4" xfId="1" applyNumberFormat="1" applyFont="1" applyBorder="1" applyAlignment="1">
      <alignment vertical="top" wrapText="1"/>
    </xf>
    <xf numFmtId="0" fontId="37" fillId="0" borderId="2" xfId="11" applyFont="1" applyBorder="1" applyAlignment="1">
      <alignment horizontal="center" vertical="center" wrapText="1"/>
    </xf>
    <xf numFmtId="164" fontId="38" fillId="2" borderId="15" xfId="14" applyFont="1" applyFill="1" applyBorder="1" applyAlignment="1">
      <alignment vertical="center" wrapText="1"/>
    </xf>
    <xf numFmtId="0" fontId="38" fillId="0" borderId="15" xfId="0" applyFont="1" applyBorder="1" applyAlignment="1">
      <alignment vertical="center" wrapText="1"/>
    </xf>
    <xf numFmtId="0" fontId="38" fillId="0" borderId="15" xfId="11" applyFont="1" applyBorder="1" applyAlignment="1">
      <alignment vertical="center" wrapText="1"/>
    </xf>
    <xf numFmtId="0" fontId="38" fillId="2" borderId="15" xfId="0" applyFont="1" applyFill="1" applyBorder="1" applyAlignment="1">
      <alignment horizontal="left" vertical="center" wrapText="1"/>
    </xf>
    <xf numFmtId="0" fontId="38" fillId="0" borderId="15" xfId="0" applyFont="1" applyBorder="1" applyAlignment="1">
      <alignment horizontal="left" wrapText="1"/>
    </xf>
    <xf numFmtId="0" fontId="39" fillId="0" borderId="15" xfId="0" applyFont="1" applyBorder="1" applyAlignment="1">
      <alignment horizontal="left" wrapText="1"/>
    </xf>
    <xf numFmtId="0" fontId="39" fillId="2" borderId="15" xfId="0" applyFont="1" applyFill="1" applyBorder="1" applyAlignment="1">
      <alignment horizontal="left" vertical="center" wrapText="1"/>
    </xf>
    <xf numFmtId="0" fontId="38" fillId="0" borderId="0" xfId="9"/>
    <xf numFmtId="0" fontId="50" fillId="0" borderId="4" xfId="0" applyFont="1" applyBorder="1" applyAlignment="1">
      <alignment horizontal="center" vertical="top" wrapText="1"/>
    </xf>
    <xf numFmtId="0" fontId="50" fillId="0" borderId="4" xfId="0" applyFont="1" applyBorder="1" applyAlignment="1">
      <alignment vertical="top" wrapText="1"/>
    </xf>
    <xf numFmtId="165" fontId="50" fillId="0" borderId="4" xfId="1" applyNumberFormat="1" applyFont="1" applyBorder="1" applyAlignment="1">
      <alignment vertical="top" wrapText="1"/>
    </xf>
    <xf numFmtId="0" fontId="58" fillId="0" borderId="0" xfId="0" applyFont="1"/>
    <xf numFmtId="3" fontId="10" fillId="0" borderId="0" xfId="4" applyNumberFormat="1" applyFont="1"/>
    <xf numFmtId="171" fontId="10" fillId="0" borderId="0" xfId="4" applyNumberFormat="1" applyFont="1"/>
    <xf numFmtId="169" fontId="8" fillId="0" borderId="0" xfId="4" applyNumberFormat="1" applyFont="1"/>
    <xf numFmtId="170" fontId="8" fillId="0" borderId="0" xfId="4" applyNumberFormat="1" applyFont="1"/>
    <xf numFmtId="0" fontId="39" fillId="2" borderId="15" xfId="0" applyFont="1" applyFill="1" applyBorder="1"/>
    <xf numFmtId="0" fontId="53" fillId="0" borderId="0" xfId="9" applyFont="1"/>
    <xf numFmtId="0" fontId="39" fillId="2" borderId="15" xfId="0" applyFont="1" applyFill="1" applyBorder="1" applyAlignment="1">
      <alignment vertical="justify"/>
    </xf>
    <xf numFmtId="0" fontId="39" fillId="0" borderId="15" xfId="0" applyFont="1" applyBorder="1"/>
    <xf numFmtId="0" fontId="39" fillId="2" borderId="15" xfId="0" applyFont="1" applyFill="1" applyBorder="1" applyAlignment="1">
      <alignment wrapText="1"/>
    </xf>
    <xf numFmtId="0" fontId="39" fillId="0" borderId="15" xfId="0" applyFont="1" applyBorder="1" applyAlignment="1">
      <alignment vertical="center" wrapText="1"/>
    </xf>
    <xf numFmtId="0" fontId="39" fillId="0" borderId="15" xfId="0" applyFont="1" applyBorder="1" applyAlignment="1">
      <alignment vertical="justify"/>
    </xf>
    <xf numFmtId="0" fontId="39" fillId="0" borderId="15" xfId="0" applyFont="1" applyBorder="1" applyAlignment="1">
      <alignment horizontal="left" vertical="center" wrapText="1"/>
    </xf>
    <xf numFmtId="0" fontId="39" fillId="2" borderId="15" xfId="0" applyFont="1" applyFill="1" applyBorder="1" applyAlignment="1">
      <alignment vertical="center" wrapText="1"/>
    </xf>
    <xf numFmtId="0" fontId="37" fillId="0" borderId="5" xfId="11" applyFont="1" applyBorder="1" applyAlignment="1">
      <alignment horizontal="center" vertical="center" wrapText="1"/>
    </xf>
    <xf numFmtId="0" fontId="37" fillId="0" borderId="5" xfId="11" applyFont="1" applyBorder="1" applyAlignment="1">
      <alignment horizontal="left" vertical="center" wrapText="1"/>
    </xf>
    <xf numFmtId="3" fontId="37" fillId="0" borderId="5" xfId="11" applyNumberFormat="1" applyFont="1" applyBorder="1" applyAlignment="1">
      <alignment horizontal="right" vertical="center" wrapText="1"/>
    </xf>
    <xf numFmtId="0" fontId="37" fillId="0" borderId="21" xfId="11" applyFont="1" applyBorder="1" applyAlignment="1">
      <alignment horizontal="center" vertical="center" wrapText="1"/>
    </xf>
    <xf numFmtId="0" fontId="37" fillId="0" borderId="21" xfId="11" applyFont="1" applyBorder="1" applyAlignment="1">
      <alignment horizontal="left" vertical="center" wrapText="1"/>
    </xf>
    <xf numFmtId="3" fontId="37" fillId="0" borderId="21" xfId="11" applyNumberFormat="1" applyFont="1" applyBorder="1" applyAlignment="1">
      <alignment horizontal="right" vertical="center" wrapText="1"/>
    </xf>
    <xf numFmtId="0" fontId="37" fillId="0" borderId="15" xfId="9" applyFont="1" applyBorder="1" applyAlignment="1">
      <alignment horizontal="center"/>
    </xf>
    <xf numFmtId="0" fontId="37" fillId="0" borderId="15" xfId="9" applyFont="1" applyBorder="1" applyAlignment="1">
      <alignment horizontal="left"/>
    </xf>
    <xf numFmtId="3" fontId="37" fillId="0" borderId="15" xfId="1" applyNumberFormat="1" applyFont="1" applyFill="1" applyBorder="1" applyAlignment="1">
      <alignment horizontal="right"/>
    </xf>
    <xf numFmtId="3" fontId="37" fillId="0" borderId="15" xfId="0" applyNumberFormat="1" applyFont="1" applyBorder="1" applyAlignment="1">
      <alignment horizontal="right"/>
    </xf>
    <xf numFmtId="0" fontId="38" fillId="0" borderId="15" xfId="9" applyBorder="1" applyAlignment="1">
      <alignment horizontal="center"/>
    </xf>
    <xf numFmtId="0" fontId="38" fillId="0" borderId="15" xfId="9" applyBorder="1" applyAlignment="1">
      <alignment horizontal="left"/>
    </xf>
    <xf numFmtId="3" fontId="38" fillId="0" borderId="15" xfId="1" applyNumberFormat="1" applyFont="1" applyFill="1" applyBorder="1" applyAlignment="1">
      <alignment horizontal="right"/>
    </xf>
    <xf numFmtId="3" fontId="38" fillId="0" borderId="15" xfId="0" applyNumberFormat="1" applyFont="1" applyBorder="1" applyAlignment="1">
      <alignment horizontal="right"/>
    </xf>
    <xf numFmtId="0" fontId="40" fillId="0" borderId="15" xfId="9" applyFont="1" applyBorder="1" applyAlignment="1">
      <alignment horizontal="center"/>
    </xf>
    <xf numFmtId="0" fontId="39" fillId="0" borderId="15" xfId="9" applyFont="1" applyBorder="1" applyAlignment="1">
      <alignment horizontal="left"/>
    </xf>
    <xf numFmtId="0" fontId="40" fillId="0" borderId="15" xfId="9" applyFont="1" applyBorder="1" applyAlignment="1">
      <alignment horizontal="left"/>
    </xf>
    <xf numFmtId="3" fontId="39" fillId="0" borderId="15" xfId="1" applyNumberFormat="1" applyFont="1" applyFill="1" applyBorder="1" applyAlignment="1">
      <alignment horizontal="right"/>
    </xf>
    <xf numFmtId="3" fontId="39" fillId="0" borderId="15" xfId="1" applyNumberFormat="1" applyFont="1" applyFill="1" applyBorder="1" applyAlignment="1">
      <alignment horizontal="right" vertical="center"/>
    </xf>
    <xf numFmtId="3" fontId="40" fillId="0" borderId="15" xfId="0" applyNumberFormat="1" applyFont="1" applyBorder="1" applyAlignment="1">
      <alignment horizontal="right"/>
    </xf>
    <xf numFmtId="3" fontId="38" fillId="0" borderId="15" xfId="1" applyNumberFormat="1" applyFont="1" applyFill="1" applyBorder="1" applyAlignment="1">
      <alignment horizontal="right" vertical="center"/>
    </xf>
    <xf numFmtId="3" fontId="39" fillId="0" borderId="15" xfId="0" applyNumberFormat="1" applyFont="1" applyBorder="1" applyAlignment="1">
      <alignment horizontal="right"/>
    </xf>
    <xf numFmtId="0" fontId="39" fillId="0" borderId="15" xfId="9" applyFont="1" applyBorder="1" applyAlignment="1">
      <alignment horizontal="center"/>
    </xf>
    <xf numFmtId="0" fontId="41" fillId="2" borderId="15" xfId="0" applyFont="1" applyFill="1" applyBorder="1" applyAlignment="1">
      <alignment horizontal="left" vertical="center" wrapText="1"/>
    </xf>
    <xf numFmtId="0" fontId="38" fillId="0" borderId="15" xfId="9" applyBorder="1" applyAlignment="1">
      <alignment horizontal="center" vertical="center"/>
    </xf>
    <xf numFmtId="3" fontId="38" fillId="0" borderId="15" xfId="1" applyNumberFormat="1" applyFont="1" applyFill="1" applyBorder="1" applyAlignment="1">
      <alignment horizontal="right" vertical="center" wrapText="1"/>
    </xf>
    <xf numFmtId="165" fontId="38" fillId="0" borderId="15" xfId="1" applyNumberFormat="1" applyFont="1" applyFill="1" applyBorder="1" applyAlignment="1">
      <alignment horizontal="right" vertical="center" wrapText="1"/>
    </xf>
    <xf numFmtId="0" fontId="37" fillId="0" borderId="15" xfId="9" applyFont="1" applyBorder="1" applyAlignment="1">
      <alignment horizontal="left" wrapText="1"/>
    </xf>
    <xf numFmtId="3" fontId="38" fillId="0" borderId="15" xfId="10" applyNumberFormat="1" applyFont="1" applyFill="1" applyBorder="1" applyAlignment="1">
      <alignment horizontal="right"/>
    </xf>
    <xf numFmtId="0" fontId="38" fillId="0" borderId="15" xfId="9" applyBorder="1" applyAlignment="1">
      <alignment horizontal="left" wrapText="1"/>
    </xf>
    <xf numFmtId="0" fontId="39" fillId="0" borderId="15" xfId="9" applyFont="1" applyBorder="1" applyAlignment="1">
      <alignment horizontal="left" wrapText="1"/>
    </xf>
    <xf numFmtId="3" fontId="39" fillId="0" borderId="15" xfId="10" applyNumberFormat="1" applyFont="1" applyFill="1" applyBorder="1" applyAlignment="1">
      <alignment horizontal="right"/>
    </xf>
    <xf numFmtId="0" fontId="40" fillId="0" borderId="15" xfId="9" applyFont="1" applyBorder="1" applyAlignment="1">
      <alignment horizontal="left" wrapText="1"/>
    </xf>
    <xf numFmtId="0" fontId="37" fillId="0" borderId="15" xfId="9" applyFont="1" applyBorder="1" applyAlignment="1">
      <alignment vertical="center" wrapText="1"/>
    </xf>
    <xf numFmtId="3" fontId="37" fillId="0" borderId="15" xfId="10" applyNumberFormat="1" applyFont="1" applyFill="1" applyBorder="1" applyAlignment="1">
      <alignment horizontal="right" vertical="center"/>
    </xf>
    <xf numFmtId="0" fontId="38" fillId="0" borderId="15" xfId="9" applyBorder="1" applyAlignment="1">
      <alignment vertical="center" wrapText="1"/>
    </xf>
    <xf numFmtId="3" fontId="38" fillId="0" borderId="15" xfId="10" applyNumberFormat="1" applyFont="1" applyFill="1" applyBorder="1" applyAlignment="1">
      <alignment horizontal="right" vertical="center"/>
    </xf>
    <xf numFmtId="0" fontId="39" fillId="0" borderId="15" xfId="9" applyFont="1" applyBorder="1" applyAlignment="1">
      <alignment vertical="center" wrapText="1"/>
    </xf>
    <xf numFmtId="3" fontId="39" fillId="0" borderId="15" xfId="10" applyNumberFormat="1" applyFont="1" applyFill="1" applyBorder="1" applyAlignment="1">
      <alignment horizontal="right" vertical="center"/>
    </xf>
    <xf numFmtId="0" fontId="37" fillId="0" borderId="15" xfId="9" applyFont="1" applyBorder="1" applyAlignment="1">
      <alignment horizontal="left" vertical="center"/>
    </xf>
    <xf numFmtId="3" fontId="37" fillId="0" borderId="15" xfId="10" applyNumberFormat="1" applyFont="1" applyFill="1" applyBorder="1" applyAlignment="1">
      <alignment horizontal="right"/>
    </xf>
    <xf numFmtId="0" fontId="38" fillId="0" borderId="15" xfId="9" applyBorder="1" applyAlignment="1">
      <alignment horizontal="left" vertical="center" wrapText="1"/>
    </xf>
    <xf numFmtId="0" fontId="38" fillId="0" borderId="15" xfId="9" applyBorder="1" applyAlignment="1">
      <alignment horizontal="left" vertical="center"/>
    </xf>
    <xf numFmtId="0" fontId="39" fillId="0" borderId="15" xfId="9" applyFont="1" applyBorder="1" applyAlignment="1">
      <alignment horizontal="left" vertical="center"/>
    </xf>
    <xf numFmtId="0" fontId="39" fillId="0" borderId="15" xfId="9" applyFont="1" applyBorder="1" applyAlignment="1">
      <alignment horizontal="left" vertical="center" wrapText="1"/>
    </xf>
    <xf numFmtId="0" fontId="38" fillId="0" borderId="15" xfId="0" applyFont="1" applyBorder="1" applyAlignment="1">
      <alignment horizontal="left"/>
    </xf>
    <xf numFmtId="0" fontId="39" fillId="0" borderId="15" xfId="0" applyFont="1" applyBorder="1" applyAlignment="1">
      <alignment horizontal="left"/>
    </xf>
    <xf numFmtId="0" fontId="37" fillId="2" borderId="15" xfId="0" applyFont="1" applyFill="1" applyBorder="1" applyAlignment="1">
      <alignment horizontal="left" vertical="center" wrapText="1"/>
    </xf>
    <xf numFmtId="3" fontId="37" fillId="0" borderId="15" xfId="1" applyNumberFormat="1" applyFont="1" applyFill="1" applyBorder="1" applyAlignment="1">
      <alignment horizontal="right" vertical="center" wrapText="1"/>
    </xf>
    <xf numFmtId="165" fontId="37" fillId="0" borderId="15" xfId="1" applyNumberFormat="1" applyFont="1" applyFill="1" applyBorder="1" applyAlignment="1">
      <alignment horizontal="right" vertical="center" wrapText="1"/>
    </xf>
    <xf numFmtId="0" fontId="39" fillId="0" borderId="16" xfId="9" applyFont="1" applyBorder="1" applyAlignment="1">
      <alignment horizontal="center"/>
    </xf>
    <xf numFmtId="0" fontId="39" fillId="2" borderId="16" xfId="0" applyFont="1" applyFill="1" applyBorder="1" applyAlignment="1">
      <alignment horizontal="left" vertical="center" wrapText="1"/>
    </xf>
    <xf numFmtId="3" fontId="39" fillId="0" borderId="16" xfId="1" applyNumberFormat="1" applyFont="1" applyFill="1" applyBorder="1" applyAlignment="1">
      <alignment horizontal="right" vertical="center" wrapText="1"/>
    </xf>
    <xf numFmtId="165" fontId="39" fillId="0" borderId="16" xfId="1" applyNumberFormat="1" applyFont="1" applyFill="1" applyBorder="1" applyAlignment="1">
      <alignment horizontal="right" vertical="center" wrapText="1"/>
    </xf>
    <xf numFmtId="165" fontId="39" fillId="2" borderId="15" xfId="0" applyNumberFormat="1" applyFont="1" applyFill="1" applyBorder="1" applyAlignment="1">
      <alignment vertical="center"/>
    </xf>
    <xf numFmtId="165" fontId="39" fillId="2" borderId="15" xfId="0" applyNumberFormat="1" applyFont="1" applyFill="1" applyBorder="1" applyAlignment="1">
      <alignment horizontal="center" vertical="center" wrapText="1"/>
    </xf>
    <xf numFmtId="0" fontId="38" fillId="0" borderId="3" xfId="0" applyFont="1" applyBorder="1" applyAlignment="1">
      <alignment vertical="justify" wrapText="1"/>
    </xf>
    <xf numFmtId="0" fontId="48" fillId="0" borderId="9" xfId="0" applyFont="1" applyBorder="1"/>
    <xf numFmtId="0" fontId="56" fillId="0" borderId="9" xfId="0" applyFont="1" applyBorder="1"/>
    <xf numFmtId="3" fontId="11" fillId="0" borderId="0" xfId="4" applyNumberFormat="1" applyFont="1"/>
    <xf numFmtId="0" fontId="23" fillId="0" borderId="15" xfId="0" applyFont="1" applyBorder="1" applyAlignment="1">
      <alignment horizontal="left" vertical="center" wrapText="1"/>
    </xf>
    <xf numFmtId="3" fontId="38" fillId="0" borderId="15" xfId="1" applyNumberFormat="1" applyFont="1" applyFill="1" applyBorder="1" applyAlignment="1">
      <alignment vertical="center"/>
    </xf>
    <xf numFmtId="3" fontId="42" fillId="0" borderId="0" xfId="9" applyNumberFormat="1" applyFont="1" applyAlignment="1">
      <alignment horizontal="center" vertical="center" wrapText="1"/>
    </xf>
    <xf numFmtId="0" fontId="12" fillId="0" borderId="22" xfId="0" applyFont="1" applyBorder="1" applyAlignment="1">
      <alignment horizontal="center" vertical="top" wrapText="1"/>
    </xf>
    <xf numFmtId="0" fontId="12" fillId="0" borderId="22" xfId="0" applyFont="1" applyBorder="1" applyAlignment="1">
      <alignment vertical="top" wrapText="1"/>
    </xf>
    <xf numFmtId="165" fontId="12" fillId="0" borderId="22" xfId="1" applyNumberFormat="1" applyFont="1" applyBorder="1" applyAlignment="1">
      <alignment vertical="top" wrapText="1"/>
    </xf>
    <xf numFmtId="0" fontId="12" fillId="0" borderId="23" xfId="0" applyFont="1" applyBorder="1" applyAlignment="1">
      <alignment horizontal="center" vertical="top" wrapText="1"/>
    </xf>
    <xf numFmtId="0" fontId="12" fillId="0" borderId="23" xfId="0" applyFont="1" applyBorder="1" applyAlignment="1">
      <alignment vertical="top" wrapText="1"/>
    </xf>
    <xf numFmtId="165" fontId="12" fillId="0" borderId="24" xfId="1" applyNumberFormat="1" applyFont="1" applyBorder="1" applyAlignment="1">
      <alignment vertical="top" wrapText="1"/>
    </xf>
    <xf numFmtId="165" fontId="12" fillId="0" borderId="23" xfId="1" applyNumberFormat="1" applyFont="1" applyBorder="1" applyAlignment="1">
      <alignment vertical="top" wrapText="1"/>
    </xf>
    <xf numFmtId="0" fontId="9" fillId="2" borderId="5" xfId="2" applyFont="1" applyFill="1" applyBorder="1" applyAlignment="1">
      <alignment horizontal="center"/>
    </xf>
    <xf numFmtId="0" fontId="9" fillId="2" borderId="5" xfId="2" applyFont="1" applyFill="1" applyBorder="1"/>
    <xf numFmtId="3" fontId="9" fillId="2" borderId="5" xfId="0" applyNumberFormat="1" applyFont="1" applyFill="1" applyBorder="1"/>
    <xf numFmtId="3" fontId="60" fillId="2" borderId="5" xfId="0" applyNumberFormat="1" applyFont="1" applyFill="1" applyBorder="1"/>
    <xf numFmtId="0" fontId="37" fillId="0" borderId="16" xfId="4" applyFont="1" applyBorder="1" applyAlignment="1">
      <alignment horizontal="center" vertical="center" wrapText="1"/>
    </xf>
    <xf numFmtId="169" fontId="42" fillId="0" borderId="0" xfId="9" applyNumberFormat="1" applyFont="1" applyAlignment="1">
      <alignment horizontal="center" vertical="center" wrapText="1"/>
    </xf>
    <xf numFmtId="169" fontId="42" fillId="0" borderId="0" xfId="9" applyNumberFormat="1" applyFont="1"/>
    <xf numFmtId="3" fontId="20" fillId="0" borderId="0" xfId="9" applyNumberFormat="1" applyFont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justify"/>
    </xf>
    <xf numFmtId="0" fontId="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45" fillId="0" borderId="5" xfId="0" applyFont="1" applyBorder="1" applyAlignment="1">
      <alignment horizontal="center"/>
    </xf>
    <xf numFmtId="0" fontId="9" fillId="0" borderId="17" xfId="0" applyFont="1" applyBorder="1" applyAlignment="1">
      <alignment horizontal="center" wrapText="1"/>
    </xf>
    <xf numFmtId="0" fontId="9" fillId="0" borderId="18" xfId="0" applyFont="1" applyBorder="1" applyAlignment="1">
      <alignment horizontal="center" wrapText="1"/>
    </xf>
    <xf numFmtId="0" fontId="9" fillId="0" borderId="19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0" fontId="45" fillId="0" borderId="1" xfId="0" applyFont="1" applyBorder="1" applyAlignment="1">
      <alignment horizontal="center" vertical="center"/>
    </xf>
    <xf numFmtId="0" fontId="45" fillId="0" borderId="20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3" fontId="7" fillId="2" borderId="5" xfId="0" applyNumberFormat="1" applyFont="1" applyFill="1" applyBorder="1" applyAlignment="1">
      <alignment horizontal="center" vertical="center" wrapText="1"/>
    </xf>
    <xf numFmtId="0" fontId="22" fillId="2" borderId="0" xfId="2" applyFont="1" applyFill="1" applyAlignment="1">
      <alignment horizontal="center" vertical="center" wrapText="1"/>
    </xf>
    <xf numFmtId="0" fontId="23" fillId="0" borderId="0" xfId="2" applyFont="1" applyAlignment="1">
      <alignment horizontal="center"/>
    </xf>
    <xf numFmtId="0" fontId="7" fillId="2" borderId="5" xfId="2" applyFont="1" applyFill="1" applyBorder="1" applyAlignment="1">
      <alignment horizontal="center" vertical="center" wrapText="1"/>
    </xf>
    <xf numFmtId="3" fontId="9" fillId="2" borderId="5" xfId="0" applyNumberFormat="1" applyFont="1" applyFill="1" applyBorder="1" applyAlignment="1">
      <alignment horizontal="center" vertical="center" wrapText="1"/>
    </xf>
    <xf numFmtId="0" fontId="32" fillId="0" borderId="0" xfId="4" applyFont="1" applyAlignment="1">
      <alignment horizontal="center"/>
    </xf>
    <xf numFmtId="0" fontId="37" fillId="0" borderId="1" xfId="4" applyFont="1" applyBorder="1" applyAlignment="1">
      <alignment horizontal="center" vertical="center" wrapText="1"/>
    </xf>
    <xf numFmtId="0" fontId="37" fillId="0" borderId="13" xfId="4" applyFont="1" applyBorder="1" applyAlignment="1">
      <alignment horizontal="center" vertical="center" wrapText="1"/>
    </xf>
    <xf numFmtId="165" fontId="37" fillId="0" borderId="1" xfId="4" applyNumberFormat="1" applyFont="1" applyBorder="1" applyAlignment="1">
      <alignment horizontal="center" vertical="center" wrapText="1"/>
    </xf>
    <xf numFmtId="165" fontId="37" fillId="0" borderId="13" xfId="4" applyNumberFormat="1" applyFont="1" applyBorder="1" applyAlignment="1">
      <alignment horizontal="center" vertical="center" wrapText="1"/>
    </xf>
    <xf numFmtId="165" fontId="37" fillId="0" borderId="12" xfId="4" applyNumberFormat="1" applyFont="1" applyBorder="1" applyAlignment="1">
      <alignment horizontal="center" vertical="center" wrapText="1"/>
    </xf>
    <xf numFmtId="165" fontId="37" fillId="0" borderId="6" xfId="4" applyNumberFormat="1" applyFont="1" applyBorder="1" applyAlignment="1">
      <alignment horizontal="center" vertical="center" wrapText="1"/>
    </xf>
    <xf numFmtId="165" fontId="37" fillId="0" borderId="5" xfId="4" applyNumberFormat="1" applyFont="1" applyBorder="1" applyAlignment="1">
      <alignment horizontal="center" vertical="center" wrapText="1"/>
    </xf>
    <xf numFmtId="165" fontId="37" fillId="0" borderId="17" xfId="4" applyNumberFormat="1" applyFont="1" applyBorder="1" applyAlignment="1">
      <alignment horizontal="center" vertical="center" wrapText="1"/>
    </xf>
    <xf numFmtId="165" fontId="37" fillId="0" borderId="18" xfId="4" applyNumberFormat="1" applyFont="1" applyBorder="1" applyAlignment="1">
      <alignment horizontal="center" vertical="center" wrapText="1"/>
    </xf>
    <xf numFmtId="165" fontId="37" fillId="0" borderId="14" xfId="4" applyNumberFormat="1" applyFont="1" applyBorder="1" applyAlignment="1">
      <alignment horizontal="center" vertical="center" wrapText="1"/>
    </xf>
    <xf numFmtId="0" fontId="35" fillId="0" borderId="0" xfId="4" applyFont="1" applyAlignment="1">
      <alignment horizontal="center"/>
    </xf>
    <xf numFmtId="0" fontId="5" fillId="0" borderId="0" xfId="4" applyFont="1" applyAlignment="1">
      <alignment horizontal="center" vertical="center" wrapText="1"/>
    </xf>
    <xf numFmtId="0" fontId="15" fillId="0" borderId="0" xfId="4" applyFont="1" applyAlignment="1">
      <alignment horizontal="center"/>
    </xf>
    <xf numFmtId="165" fontId="39" fillId="0" borderId="11" xfId="4" applyNumberFormat="1" applyFont="1" applyBorder="1" applyAlignment="1">
      <alignment horizontal="center"/>
    </xf>
    <xf numFmtId="0" fontId="37" fillId="0" borderId="12" xfId="11" applyFont="1" applyBorder="1" applyAlignment="1">
      <alignment horizontal="center" vertical="center" wrapText="1"/>
    </xf>
    <xf numFmtId="0" fontId="37" fillId="0" borderId="6" xfId="11" applyFont="1" applyBorder="1" applyAlignment="1">
      <alignment horizontal="center" vertical="center" wrapText="1"/>
    </xf>
    <xf numFmtId="0" fontId="37" fillId="0" borderId="1" xfId="11" applyFont="1" applyBorder="1" applyAlignment="1">
      <alignment horizontal="center" vertical="center" wrapText="1"/>
    </xf>
    <xf numFmtId="0" fontId="37" fillId="0" borderId="2" xfId="11" applyFont="1" applyBorder="1" applyAlignment="1">
      <alignment horizontal="center" vertical="center" wrapText="1"/>
    </xf>
    <xf numFmtId="0" fontId="37" fillId="0" borderId="0" xfId="9" applyFont="1" applyAlignment="1">
      <alignment horizontal="center" vertical="center" wrapText="1"/>
    </xf>
    <xf numFmtId="0" fontId="39" fillId="0" borderId="0" xfId="9" applyFont="1" applyAlignment="1">
      <alignment horizontal="center" wrapText="1"/>
    </xf>
    <xf numFmtId="0" fontId="39" fillId="0" borderId="11" xfId="9" applyFont="1" applyBorder="1" applyAlignment="1">
      <alignment horizontal="right"/>
    </xf>
  </cellXfs>
  <cellStyles count="15">
    <cellStyle name="Comma" xfId="1" builtinId="3"/>
    <cellStyle name="Comma 10 10" xfId="10" xr:uid="{00000000-0005-0000-0000-000001000000}"/>
    <cellStyle name="Comma 2" xfId="13" xr:uid="{7BDE8BE0-6F24-4B7C-B761-641C875D40AC}"/>
    <cellStyle name="Comma 2 3" xfId="12" xr:uid="{00000000-0005-0000-0000-000002000000}"/>
    <cellStyle name="Comma 3" xfId="14" xr:uid="{13C9E6A0-566D-4713-9154-6DF30D35ACD7}"/>
    <cellStyle name="Comma 4 2" xfId="5" xr:uid="{00000000-0005-0000-0000-000003000000}"/>
    <cellStyle name="Normal" xfId="0" builtinId="0"/>
    <cellStyle name="Normal 13" xfId="4" xr:uid="{00000000-0005-0000-0000-000005000000}"/>
    <cellStyle name="Normal 13 2" xfId="6" xr:uid="{00000000-0005-0000-0000-000006000000}"/>
    <cellStyle name="Normal 2 2_Bieu Ke hoach dau tu cong 2018-Q.Trach-TT03-UBND.10.2017" xfId="9" xr:uid="{00000000-0005-0000-0000-000007000000}"/>
    <cellStyle name="Normal 2 3 4" xfId="7" xr:uid="{00000000-0005-0000-0000-000008000000}"/>
    <cellStyle name="Normal 3" xfId="11" xr:uid="{00000000-0005-0000-0000-000009000000}"/>
    <cellStyle name="Normal 6" xfId="3" xr:uid="{00000000-0005-0000-0000-00000A000000}"/>
    <cellStyle name="Normal 7" xfId="8" xr:uid="{00000000-0005-0000-0000-00000B000000}"/>
    <cellStyle name="Normal_Biểu 3B" xfId="2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E21"/>
  <sheetViews>
    <sheetView topLeftCell="A4" workbookViewId="0">
      <selection activeCell="D15" sqref="D15"/>
    </sheetView>
  </sheetViews>
  <sheetFormatPr defaultRowHeight="15" x14ac:dyDescent="0.25"/>
  <cols>
    <col min="2" max="2" width="55.85546875" customWidth="1"/>
    <col min="3" max="3" width="15.28515625" customWidth="1"/>
    <col min="4" max="4" width="15.85546875" customWidth="1"/>
    <col min="5" max="5" width="9.7109375" bestFit="1" customWidth="1"/>
    <col min="6" max="6" width="15.140625" customWidth="1"/>
  </cols>
  <sheetData>
    <row r="1" spans="1:5" ht="16.5" x14ac:dyDescent="0.25">
      <c r="A1" s="266" t="s">
        <v>115</v>
      </c>
      <c r="B1" s="266"/>
      <c r="C1" s="266"/>
      <c r="D1" s="266"/>
    </row>
    <row r="2" spans="1:5" ht="18.75" x14ac:dyDescent="0.3">
      <c r="A2" s="268" t="s">
        <v>1</v>
      </c>
      <c r="B2" s="268"/>
      <c r="C2" s="268"/>
      <c r="D2" s="268"/>
    </row>
    <row r="3" spans="1:5" ht="38.25" customHeight="1" x14ac:dyDescent="0.25">
      <c r="A3" s="267" t="s">
        <v>297</v>
      </c>
      <c r="B3" s="267"/>
      <c r="C3" s="267"/>
      <c r="D3" s="267"/>
    </row>
    <row r="4" spans="1:5" ht="15.75" x14ac:dyDescent="0.25">
      <c r="D4" s="1" t="s">
        <v>124</v>
      </c>
    </row>
    <row r="5" spans="1:5" s="2" customFormat="1" ht="18.75" x14ac:dyDescent="0.3">
      <c r="A5" s="264" t="s">
        <v>2</v>
      </c>
      <c r="B5" s="264" t="s">
        <v>3</v>
      </c>
      <c r="C5" s="264" t="s">
        <v>47</v>
      </c>
      <c r="D5" s="264" t="s">
        <v>17</v>
      </c>
    </row>
    <row r="6" spans="1:5" s="2" customFormat="1" ht="18.75" x14ac:dyDescent="0.3">
      <c r="A6" s="265"/>
      <c r="B6" s="265"/>
      <c r="C6" s="265"/>
      <c r="D6" s="265"/>
    </row>
    <row r="7" spans="1:5" s="5" customFormat="1" ht="15.75" x14ac:dyDescent="0.25">
      <c r="A7" s="3" t="s">
        <v>4</v>
      </c>
      <c r="B7" s="4" t="s">
        <v>5</v>
      </c>
      <c r="C7" s="83">
        <f>C8+C11+C12</f>
        <v>54719840</v>
      </c>
      <c r="D7" s="83">
        <f>D8+D11+D12</f>
        <v>55119840</v>
      </c>
    </row>
    <row r="8" spans="1:5" s="8" customFormat="1" ht="15.75" x14ac:dyDescent="0.2">
      <c r="A8" s="147">
        <v>1</v>
      </c>
      <c r="B8" s="148" t="s">
        <v>121</v>
      </c>
      <c r="C8" s="149">
        <f>C9+C10</f>
        <v>3768000</v>
      </c>
      <c r="D8" s="149">
        <f>D9+D10</f>
        <v>4168000</v>
      </c>
    </row>
    <row r="9" spans="1:5" s="11" customFormat="1" x14ac:dyDescent="0.2">
      <c r="A9" s="150"/>
      <c r="B9" s="151" t="s">
        <v>119</v>
      </c>
      <c r="C9" s="152">
        <v>941000</v>
      </c>
      <c r="D9" s="152">
        <f>C9</f>
        <v>941000</v>
      </c>
    </row>
    <row r="10" spans="1:5" s="11" customFormat="1" ht="31.5" x14ac:dyDescent="0.2">
      <c r="A10" s="150"/>
      <c r="B10" s="242" t="s">
        <v>120</v>
      </c>
      <c r="C10" s="158">
        <f>3227000-400000</f>
        <v>2827000</v>
      </c>
      <c r="D10" s="158">
        <v>3227000</v>
      </c>
    </row>
    <row r="11" spans="1:5" s="11" customFormat="1" ht="15.75" x14ac:dyDescent="0.2">
      <c r="A11" s="89">
        <v>2</v>
      </c>
      <c r="B11" s="7" t="s">
        <v>63</v>
      </c>
      <c r="C11" s="159">
        <f>D11</f>
        <v>800000</v>
      </c>
      <c r="D11" s="159">
        <v>800000</v>
      </c>
    </row>
    <row r="12" spans="1:5" s="8" customFormat="1" ht="15.75" x14ac:dyDescent="0.2">
      <c r="A12" s="6">
        <v>3</v>
      </c>
      <c r="B12" s="7" t="s">
        <v>6</v>
      </c>
      <c r="C12" s="159">
        <f>C13+C14</f>
        <v>50151840</v>
      </c>
      <c r="D12" s="159">
        <f>D13+D14</f>
        <v>50151840</v>
      </c>
      <c r="E12" s="86"/>
    </row>
    <row r="13" spans="1:5" s="11" customFormat="1" x14ac:dyDescent="0.2">
      <c r="A13" s="9"/>
      <c r="B13" s="10" t="s">
        <v>7</v>
      </c>
      <c r="C13" s="84">
        <f>D13</f>
        <v>48660180</v>
      </c>
      <c r="D13" s="84">
        <v>48660180</v>
      </c>
    </row>
    <row r="14" spans="1:5" s="11" customFormat="1" x14ac:dyDescent="0.2">
      <c r="A14" s="9"/>
      <c r="B14" s="10" t="s">
        <v>8</v>
      </c>
      <c r="C14" s="84">
        <f>D14</f>
        <v>1491660</v>
      </c>
      <c r="D14" s="84">
        <f>625660+866000</f>
        <v>1491660</v>
      </c>
    </row>
    <row r="15" spans="1:5" s="14" customFormat="1" x14ac:dyDescent="0.25">
      <c r="A15" s="12" t="s">
        <v>9</v>
      </c>
      <c r="B15" s="13" t="s">
        <v>10</v>
      </c>
      <c r="C15" s="85">
        <f>C16+C17+C20+C19</f>
        <v>53291940</v>
      </c>
      <c r="D15" s="85">
        <f>D16+D17+D20+D19</f>
        <v>53451940</v>
      </c>
    </row>
    <row r="16" spans="1:5" s="11" customFormat="1" x14ac:dyDescent="0.2">
      <c r="A16" s="9">
        <v>1</v>
      </c>
      <c r="B16" s="10" t="s">
        <v>11</v>
      </c>
      <c r="C16" s="84">
        <v>120000</v>
      </c>
      <c r="D16" s="84">
        <v>280000</v>
      </c>
    </row>
    <row r="17" spans="1:4" s="11" customFormat="1" x14ac:dyDescent="0.2">
      <c r="A17" s="9">
        <v>2</v>
      </c>
      <c r="B17" s="10" t="s">
        <v>12</v>
      </c>
      <c r="C17" s="84">
        <f t="shared" ref="C17:C18" si="0">D17</f>
        <v>50966014</v>
      </c>
      <c r="D17" s="84">
        <v>50966014</v>
      </c>
    </row>
    <row r="18" spans="1:4" s="172" customFormat="1" x14ac:dyDescent="0.25">
      <c r="A18" s="169"/>
      <c r="B18" s="170" t="s">
        <v>13</v>
      </c>
      <c r="C18" s="171">
        <f t="shared" si="0"/>
        <v>28839132</v>
      </c>
      <c r="D18" s="171">
        <v>28839132</v>
      </c>
    </row>
    <row r="19" spans="1:4" s="11" customFormat="1" x14ac:dyDescent="0.2">
      <c r="A19" s="249">
        <v>3</v>
      </c>
      <c r="B19" s="250" t="s">
        <v>14</v>
      </c>
      <c r="C19" s="251">
        <f t="shared" ref="C19" si="1">D19</f>
        <v>1339926</v>
      </c>
      <c r="D19" s="251">
        <v>1339926</v>
      </c>
    </row>
    <row r="20" spans="1:4" s="11" customFormat="1" x14ac:dyDescent="0.2">
      <c r="A20" s="252">
        <v>4</v>
      </c>
      <c r="B20" s="253" t="s">
        <v>308</v>
      </c>
      <c r="C20" s="254">
        <v>866000</v>
      </c>
      <c r="D20" s="255">
        <f>C20</f>
        <v>866000</v>
      </c>
    </row>
    <row r="21" spans="1:4" ht="15.75" x14ac:dyDescent="0.25">
      <c r="A21" s="15"/>
    </row>
  </sheetData>
  <mergeCells count="7">
    <mergeCell ref="A5:A6"/>
    <mergeCell ref="B5:B6"/>
    <mergeCell ref="D5:D6"/>
    <mergeCell ref="A1:D1"/>
    <mergeCell ref="A3:D3"/>
    <mergeCell ref="A2:D2"/>
    <mergeCell ref="C5:C6"/>
  </mergeCells>
  <pageMargins left="0.23" right="0.2" top="0.75" bottom="0.75" header="0.3" footer="0.3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K38"/>
  <sheetViews>
    <sheetView topLeftCell="A17" workbookViewId="0">
      <selection activeCell="H36" sqref="H36"/>
    </sheetView>
  </sheetViews>
  <sheetFormatPr defaultRowHeight="15" x14ac:dyDescent="0.25"/>
  <cols>
    <col min="2" max="2" width="50.140625" customWidth="1"/>
    <col min="3" max="3" width="12.140625" bestFit="1" customWidth="1"/>
    <col min="4" max="4" width="11.140625" customWidth="1"/>
    <col min="5" max="5" width="13.42578125" customWidth="1"/>
    <col min="6" max="6" width="16.42578125" customWidth="1"/>
    <col min="7" max="7" width="12.140625" bestFit="1" customWidth="1"/>
    <col min="8" max="8" width="13" style="153" customWidth="1"/>
    <col min="9" max="10" width="8.85546875" style="87"/>
  </cols>
  <sheetData>
    <row r="1" spans="1:10" ht="16.5" x14ac:dyDescent="0.25">
      <c r="A1" s="269" t="s">
        <v>0</v>
      </c>
      <c r="B1" s="269"/>
      <c r="C1" s="269"/>
      <c r="D1" s="269"/>
      <c r="E1" s="269"/>
      <c r="F1" s="269"/>
      <c r="G1" s="269"/>
      <c r="H1" s="269"/>
    </row>
    <row r="2" spans="1:10" ht="18.75" x14ac:dyDescent="0.3">
      <c r="A2" s="268" t="s">
        <v>125</v>
      </c>
      <c r="B2" s="268"/>
      <c r="C2" s="268"/>
      <c r="D2" s="268"/>
      <c r="E2" s="268"/>
      <c r="F2" s="268"/>
      <c r="G2" s="268"/>
      <c r="H2" s="268"/>
    </row>
    <row r="3" spans="1:10" ht="18.75" x14ac:dyDescent="0.3">
      <c r="A3" s="270" t="s">
        <v>296</v>
      </c>
      <c r="B3" s="270"/>
      <c r="C3" s="270"/>
      <c r="D3" s="270"/>
      <c r="E3" s="270"/>
      <c r="F3" s="270"/>
      <c r="G3" s="270"/>
      <c r="H3" s="270"/>
    </row>
    <row r="4" spans="1:10" ht="17.649999999999999" customHeight="1" x14ac:dyDescent="0.25">
      <c r="F4" s="8"/>
      <c r="G4" s="113"/>
      <c r="H4" s="154" t="s">
        <v>124</v>
      </c>
    </row>
    <row r="5" spans="1:10" x14ac:dyDescent="0.25">
      <c r="D5" s="16"/>
    </row>
    <row r="6" spans="1:10" ht="15.75" x14ac:dyDescent="0.25">
      <c r="A6" s="276" t="s">
        <v>2</v>
      </c>
      <c r="B6" s="279" t="s">
        <v>3</v>
      </c>
      <c r="C6" s="280" t="s">
        <v>15</v>
      </c>
      <c r="D6" s="280"/>
      <c r="E6" s="272" t="s">
        <v>18</v>
      </c>
      <c r="F6" s="273"/>
      <c r="G6" s="271" t="s">
        <v>53</v>
      </c>
      <c r="H6" s="271"/>
    </row>
    <row r="7" spans="1:10" ht="28.5" customHeight="1" x14ac:dyDescent="0.25">
      <c r="A7" s="278"/>
      <c r="B7" s="279"/>
      <c r="C7" s="276" t="s">
        <v>16</v>
      </c>
      <c r="D7" s="276" t="s">
        <v>17</v>
      </c>
      <c r="E7" s="274"/>
      <c r="F7" s="275"/>
      <c r="G7" s="281" t="s">
        <v>117</v>
      </c>
      <c r="H7" s="283" t="s">
        <v>118</v>
      </c>
    </row>
    <row r="8" spans="1:10" ht="31.5" x14ac:dyDescent="0.25">
      <c r="A8" s="277"/>
      <c r="B8" s="279"/>
      <c r="C8" s="277"/>
      <c r="D8" s="277"/>
      <c r="E8" s="17" t="s">
        <v>139</v>
      </c>
      <c r="F8" s="17" t="s">
        <v>140</v>
      </c>
      <c r="G8" s="282"/>
      <c r="H8" s="284"/>
    </row>
    <row r="9" spans="1:10" s="2" customFormat="1" ht="18.75" x14ac:dyDescent="0.3">
      <c r="A9" s="18" t="s">
        <v>4</v>
      </c>
      <c r="B9" s="19" t="s">
        <v>19</v>
      </c>
      <c r="C9" s="99">
        <f>C10+C15+C16+C17+C18+C21+C22+C23+C24</f>
        <v>3768000</v>
      </c>
      <c r="D9" s="99">
        <f>D10+D15+D16+D17+D18+D21+D22+D23+D24</f>
        <v>4168000</v>
      </c>
      <c r="E9" s="99">
        <f t="shared" ref="E9:F9" si="0">E10+E15+E16+E17+E18+E21+E22+E23+E24</f>
        <v>35000</v>
      </c>
      <c r="F9" s="99">
        <f t="shared" si="0"/>
        <v>4133000</v>
      </c>
      <c r="G9" s="99">
        <f>G10+G15+G16+G17+G18+G21+G22+G23+G24</f>
        <v>4168000</v>
      </c>
      <c r="H9" s="135">
        <f>H10+H15+H16+H17+H18+H21+H22+H23+H24</f>
        <v>2500100</v>
      </c>
      <c r="I9" s="88"/>
      <c r="J9" s="88"/>
    </row>
    <row r="10" spans="1:10" s="2" customFormat="1" ht="31.5" x14ac:dyDescent="0.3">
      <c r="A10" s="18">
        <v>1</v>
      </c>
      <c r="B10" s="19" t="s">
        <v>20</v>
      </c>
      <c r="C10" s="99">
        <f>SUM(C11:C14)</f>
        <v>1830000</v>
      </c>
      <c r="D10" s="99">
        <f>SUM(D11:D14)</f>
        <v>1830000</v>
      </c>
      <c r="E10" s="99">
        <f t="shared" ref="E10:F10" si="1">SUM(E11:E14)</f>
        <v>5000</v>
      </c>
      <c r="F10" s="99">
        <f t="shared" si="1"/>
        <v>1825000</v>
      </c>
      <c r="G10" s="99">
        <f>SUM(G11:G14)</f>
        <v>1830000</v>
      </c>
      <c r="H10" s="135">
        <f>SUM(H11:H14)</f>
        <v>921000</v>
      </c>
      <c r="I10" s="88"/>
      <c r="J10" s="88"/>
    </row>
    <row r="11" spans="1:10" s="11" customFormat="1" x14ac:dyDescent="0.2">
      <c r="A11" s="20"/>
      <c r="B11" s="21" t="s">
        <v>21</v>
      </c>
      <c r="C11" s="100">
        <v>30000</v>
      </c>
      <c r="D11" s="100">
        <f>SUM(E11:F11)</f>
        <v>30000</v>
      </c>
      <c r="E11" s="101">
        <v>5000</v>
      </c>
      <c r="F11" s="101">
        <v>25000</v>
      </c>
      <c r="G11" s="100">
        <f>D11</f>
        <v>30000</v>
      </c>
      <c r="H11" s="136">
        <f>(G11/2*0.4)+(G11/2*1)</f>
        <v>21000</v>
      </c>
      <c r="I11" s="88"/>
      <c r="J11" s="88"/>
    </row>
    <row r="12" spans="1:10" s="11" customFormat="1" x14ac:dyDescent="0.2">
      <c r="A12" s="20"/>
      <c r="B12" s="21" t="s">
        <v>22</v>
      </c>
      <c r="C12" s="100"/>
      <c r="D12" s="100"/>
      <c r="E12" s="101"/>
      <c r="F12" s="101"/>
      <c r="G12" s="100"/>
      <c r="H12" s="136"/>
      <c r="I12" s="88"/>
      <c r="J12" s="88"/>
    </row>
    <row r="13" spans="1:10" s="11" customFormat="1" x14ac:dyDescent="0.2">
      <c r="A13" s="20"/>
      <c r="B13" s="21" t="s">
        <v>23</v>
      </c>
      <c r="C13" s="100"/>
      <c r="D13" s="100"/>
      <c r="E13" s="101"/>
      <c r="F13" s="101"/>
      <c r="G13" s="100"/>
      <c r="H13" s="136"/>
      <c r="I13" s="88"/>
      <c r="J13" s="88"/>
    </row>
    <row r="14" spans="1:10" s="11" customFormat="1" x14ac:dyDescent="0.2">
      <c r="A14" s="20"/>
      <c r="B14" s="21" t="s">
        <v>24</v>
      </c>
      <c r="C14" s="100">
        <v>1800000</v>
      </c>
      <c r="D14" s="100">
        <f>SUM(E14:F14)</f>
        <v>1800000</v>
      </c>
      <c r="E14" s="101"/>
      <c r="F14" s="101">
        <v>1800000</v>
      </c>
      <c r="G14" s="100">
        <f>D14</f>
        <v>1800000</v>
      </c>
      <c r="H14" s="136">
        <f>(G14/2*0.5)+(G14/2*0.5)</f>
        <v>900000</v>
      </c>
      <c r="I14" s="88"/>
      <c r="J14" s="88"/>
    </row>
    <row r="15" spans="1:10" s="5" customFormat="1" ht="15.75" x14ac:dyDescent="0.25">
      <c r="A15" s="18">
        <v>2</v>
      </c>
      <c r="B15" s="19" t="s">
        <v>25</v>
      </c>
      <c r="C15" s="102">
        <v>35000</v>
      </c>
      <c r="D15" s="99">
        <f>SUM(E15:F15)</f>
        <v>35000</v>
      </c>
      <c r="E15" s="103"/>
      <c r="F15" s="103">
        <v>35000</v>
      </c>
      <c r="G15" s="99">
        <f>D15</f>
        <v>35000</v>
      </c>
      <c r="H15" s="135">
        <f>(G15/2*0.5)+(G15/2*1)</f>
        <v>26250</v>
      </c>
      <c r="I15" s="88"/>
      <c r="J15" s="88"/>
    </row>
    <row r="16" spans="1:10" s="5" customFormat="1" ht="15.75" x14ac:dyDescent="0.25">
      <c r="A16" s="18">
        <v>3</v>
      </c>
      <c r="B16" s="19" t="s">
        <v>26</v>
      </c>
      <c r="C16" s="102"/>
      <c r="D16" s="102"/>
      <c r="E16" s="103"/>
      <c r="F16" s="103"/>
      <c r="G16" s="102"/>
      <c r="H16" s="135">
        <f>(G16/2*0.7)+(G16/2*1)</f>
        <v>0</v>
      </c>
      <c r="I16" s="88"/>
      <c r="J16" s="88"/>
    </row>
    <row r="17" spans="1:11" s="5" customFormat="1" ht="15.75" x14ac:dyDescent="0.25">
      <c r="A17" s="18">
        <v>4</v>
      </c>
      <c r="B17" s="19" t="s">
        <v>27</v>
      </c>
      <c r="C17" s="104">
        <v>17000</v>
      </c>
      <c r="D17" s="99">
        <f>SUM(E17:F17)</f>
        <v>17000</v>
      </c>
      <c r="E17" s="103"/>
      <c r="F17" s="103">
        <v>17000</v>
      </c>
      <c r="G17" s="99">
        <f>D17</f>
        <v>17000</v>
      </c>
      <c r="H17" s="135">
        <f>(G17/2*0.1)+(G17/2*1)</f>
        <v>9350</v>
      </c>
      <c r="I17" s="88"/>
      <c r="J17" s="88"/>
    </row>
    <row r="18" spans="1:11" s="5" customFormat="1" ht="15.75" x14ac:dyDescent="0.25">
      <c r="A18" s="18">
        <v>5</v>
      </c>
      <c r="B18" s="19" t="s">
        <v>28</v>
      </c>
      <c r="C18" s="104">
        <f>C19</f>
        <v>300000</v>
      </c>
      <c r="D18" s="99">
        <f>D19</f>
        <v>700000</v>
      </c>
      <c r="E18" s="99">
        <f t="shared" ref="E18:F18" si="2">E19</f>
        <v>0</v>
      </c>
      <c r="F18" s="99">
        <f t="shared" si="2"/>
        <v>700000</v>
      </c>
      <c r="G18" s="99">
        <f>D18</f>
        <v>700000</v>
      </c>
      <c r="H18" s="135">
        <f>H19</f>
        <v>280000</v>
      </c>
      <c r="I18" s="88"/>
      <c r="J18" s="88"/>
    </row>
    <row r="19" spans="1:11" s="11" customFormat="1" ht="15.75" x14ac:dyDescent="0.2">
      <c r="A19" s="20"/>
      <c r="B19" s="30" t="s">
        <v>29</v>
      </c>
      <c r="C19" s="105">
        <v>300000</v>
      </c>
      <c r="D19" s="100">
        <f>SUM(E19:F19)</f>
        <v>700000</v>
      </c>
      <c r="E19" s="101"/>
      <c r="F19" s="101">
        <v>700000</v>
      </c>
      <c r="G19" s="100">
        <f>D19</f>
        <v>700000</v>
      </c>
      <c r="H19" s="136">
        <v>280000</v>
      </c>
      <c r="I19" s="88">
        <f>E19*40%</f>
        <v>0</v>
      </c>
      <c r="J19" s="88">
        <f>F19*40%</f>
        <v>280000</v>
      </c>
      <c r="K19" s="88" t="e">
        <f>#REF!*80%</f>
        <v>#REF!</v>
      </c>
    </row>
    <row r="20" spans="1:11" s="11" customFormat="1" ht="15.75" x14ac:dyDescent="0.2">
      <c r="A20" s="20"/>
      <c r="B20" s="31" t="s">
        <v>30</v>
      </c>
      <c r="C20" s="105"/>
      <c r="D20" s="105"/>
      <c r="E20" s="103"/>
      <c r="F20" s="103"/>
      <c r="G20" s="105"/>
      <c r="H20" s="136"/>
      <c r="I20" s="88"/>
      <c r="J20" s="88"/>
    </row>
    <row r="21" spans="1:11" s="14" customFormat="1" x14ac:dyDescent="0.25">
      <c r="A21" s="22">
        <v>6</v>
      </c>
      <c r="B21" s="23" t="s">
        <v>31</v>
      </c>
      <c r="C21" s="99">
        <v>645000</v>
      </c>
      <c r="D21" s="99">
        <f t="shared" ref="D21:D26" si="3">SUM(E21:F21)</f>
        <v>645000</v>
      </c>
      <c r="E21" s="103"/>
      <c r="F21" s="103">
        <v>645000</v>
      </c>
      <c r="G21" s="99">
        <f>F21</f>
        <v>645000</v>
      </c>
      <c r="H21" s="135">
        <f>G21/2*0.5+G21/2*0.5</f>
        <v>322500</v>
      </c>
      <c r="I21" s="88"/>
      <c r="J21" s="88"/>
    </row>
    <row r="22" spans="1:11" s="2" customFormat="1" ht="18.75" x14ac:dyDescent="0.3">
      <c r="A22" s="22">
        <v>7</v>
      </c>
      <c r="B22" s="19" t="s">
        <v>32</v>
      </c>
      <c r="C22" s="99">
        <v>876000</v>
      </c>
      <c r="D22" s="99">
        <f t="shared" si="3"/>
        <v>876000</v>
      </c>
      <c r="E22" s="103">
        <v>7000</v>
      </c>
      <c r="F22" s="103">
        <f>850000+2000+17000</f>
        <v>869000</v>
      </c>
      <c r="G22" s="99">
        <f>D22</f>
        <v>876000</v>
      </c>
      <c r="H22" s="135">
        <f>G22</f>
        <v>876000</v>
      </c>
      <c r="I22" s="88"/>
      <c r="J22" s="88"/>
    </row>
    <row r="23" spans="1:11" s="2" customFormat="1" ht="18.75" x14ac:dyDescent="0.3">
      <c r="A23" s="22">
        <v>8</v>
      </c>
      <c r="B23" s="19" t="s">
        <v>33</v>
      </c>
      <c r="C23" s="99">
        <v>14000</v>
      </c>
      <c r="D23" s="99">
        <f t="shared" si="3"/>
        <v>14000</v>
      </c>
      <c r="E23" s="103">
        <v>2000</v>
      </c>
      <c r="F23" s="103">
        <v>12000</v>
      </c>
      <c r="G23" s="99">
        <f>D23</f>
        <v>14000</v>
      </c>
      <c r="H23" s="135">
        <f>G23</f>
        <v>14000</v>
      </c>
      <c r="I23" s="88"/>
      <c r="J23" s="88"/>
    </row>
    <row r="24" spans="1:11" s="2" customFormat="1" ht="18.75" x14ac:dyDescent="0.3">
      <c r="A24" s="22">
        <v>9</v>
      </c>
      <c r="B24" s="19" t="s">
        <v>34</v>
      </c>
      <c r="C24" s="99">
        <f>C25+C26</f>
        <v>51000</v>
      </c>
      <c r="D24" s="99">
        <f t="shared" si="3"/>
        <v>51000</v>
      </c>
      <c r="E24" s="99">
        <f>E25+E26</f>
        <v>21000</v>
      </c>
      <c r="F24" s="99">
        <f t="shared" ref="F24" si="4">F25+F26</f>
        <v>30000</v>
      </c>
      <c r="G24" s="99">
        <f t="shared" ref="G24" si="5">G25+G26</f>
        <v>51000</v>
      </c>
      <c r="H24" s="135">
        <f t="shared" ref="H24" si="6">H25+H26</f>
        <v>51000</v>
      </c>
      <c r="I24" s="88"/>
      <c r="J24" s="88"/>
    </row>
    <row r="25" spans="1:11" s="11" customFormat="1" x14ac:dyDescent="0.2">
      <c r="A25" s="24"/>
      <c r="B25" s="25" t="s">
        <v>35</v>
      </c>
      <c r="C25" s="106">
        <v>10000</v>
      </c>
      <c r="D25" s="100">
        <f t="shared" si="3"/>
        <v>10000</v>
      </c>
      <c r="E25" s="107"/>
      <c r="F25" s="107">
        <v>10000</v>
      </c>
      <c r="G25" s="100">
        <f>D25</f>
        <v>10000</v>
      </c>
      <c r="H25" s="155">
        <f>G25</f>
        <v>10000</v>
      </c>
      <c r="I25" s="88"/>
      <c r="J25" s="88"/>
    </row>
    <row r="26" spans="1:11" s="11" customFormat="1" x14ac:dyDescent="0.2">
      <c r="A26" s="24"/>
      <c r="B26" s="25" t="s">
        <v>36</v>
      </c>
      <c r="C26" s="106">
        <v>41000</v>
      </c>
      <c r="D26" s="100">
        <f t="shared" si="3"/>
        <v>41000</v>
      </c>
      <c r="E26" s="107">
        <v>21000</v>
      </c>
      <c r="F26" s="107">
        <v>20000</v>
      </c>
      <c r="G26" s="100">
        <f>D26</f>
        <v>41000</v>
      </c>
      <c r="H26" s="155">
        <f>G26</f>
        <v>41000</v>
      </c>
      <c r="I26" s="88"/>
      <c r="J26" s="88"/>
    </row>
    <row r="27" spans="1:11" s="14" customFormat="1" x14ac:dyDescent="0.25">
      <c r="A27" s="22">
        <v>10</v>
      </c>
      <c r="B27" s="23" t="s">
        <v>37</v>
      </c>
      <c r="C27" s="99"/>
      <c r="D27" s="99"/>
      <c r="E27" s="108"/>
      <c r="F27" s="108"/>
      <c r="G27" s="99"/>
      <c r="H27" s="156"/>
      <c r="I27" s="88"/>
      <c r="J27" s="88"/>
    </row>
    <row r="28" spans="1:11" s="2" customFormat="1" ht="18.75" x14ac:dyDescent="0.3">
      <c r="A28" s="18" t="s">
        <v>9</v>
      </c>
      <c r="B28" s="19" t="s">
        <v>38</v>
      </c>
      <c r="C28" s="99">
        <f>C29+C30+C31+C34+C35+C36</f>
        <v>54719840</v>
      </c>
      <c r="D28" s="99">
        <f>D29+D30+D31+D34+D35+D36</f>
        <v>55119840</v>
      </c>
      <c r="E28" s="99">
        <f t="shared" ref="E28:F28" si="7">E29+E30+E31+E34+E35+E36</f>
        <v>0</v>
      </c>
      <c r="F28" s="99">
        <f t="shared" si="7"/>
        <v>0</v>
      </c>
      <c r="G28" s="99">
        <f>G29+G30+G31+G34+G35+G36</f>
        <v>55119840</v>
      </c>
      <c r="H28" s="135">
        <f>H29+H30+H31+H34+H35+H36</f>
        <v>55119840</v>
      </c>
      <c r="I28" s="88"/>
      <c r="J28" s="88"/>
    </row>
    <row r="29" spans="1:11" ht="15.75" x14ac:dyDescent="0.25">
      <c r="A29" s="26">
        <v>1</v>
      </c>
      <c r="B29" s="27" t="s">
        <v>39</v>
      </c>
      <c r="C29" s="100">
        <f>D29</f>
        <v>941000</v>
      </c>
      <c r="D29" s="100">
        <f>'PL1 CÂN ĐỐI'!D9</f>
        <v>941000</v>
      </c>
      <c r="E29" s="109"/>
      <c r="F29" s="109"/>
      <c r="G29" s="100">
        <f>D29</f>
        <v>941000</v>
      </c>
      <c r="H29" s="136">
        <f>G29</f>
        <v>941000</v>
      </c>
    </row>
    <row r="30" spans="1:11" ht="15.75" x14ac:dyDescent="0.25">
      <c r="A30" s="26">
        <v>2</v>
      </c>
      <c r="B30" s="27" t="s">
        <v>40</v>
      </c>
      <c r="C30" s="100">
        <f>D30-400000</f>
        <v>2827000</v>
      </c>
      <c r="D30" s="100">
        <f>'PL1 CÂN ĐỐI'!D10</f>
        <v>3227000</v>
      </c>
      <c r="E30" s="109"/>
      <c r="F30" s="109"/>
      <c r="G30" s="100">
        <f>D30</f>
        <v>3227000</v>
      </c>
      <c r="H30" s="136">
        <f>G30</f>
        <v>3227000</v>
      </c>
    </row>
    <row r="31" spans="1:11" ht="15.75" x14ac:dyDescent="0.25">
      <c r="A31" s="26">
        <v>3</v>
      </c>
      <c r="B31" s="27" t="s">
        <v>41</v>
      </c>
      <c r="C31" s="100">
        <f>C32+C33</f>
        <v>50151840</v>
      </c>
      <c r="D31" s="100">
        <f>D32+D33</f>
        <v>50151840</v>
      </c>
      <c r="E31" s="110"/>
      <c r="F31" s="110"/>
      <c r="G31" s="100">
        <f>D31</f>
        <v>50151840</v>
      </c>
      <c r="H31" s="136">
        <f>G31</f>
        <v>50151840</v>
      </c>
    </row>
    <row r="32" spans="1:11" s="11" customFormat="1" x14ac:dyDescent="0.2">
      <c r="A32" s="20"/>
      <c r="B32" s="21" t="s">
        <v>42</v>
      </c>
      <c r="C32" s="100">
        <f>D32</f>
        <v>48660180</v>
      </c>
      <c r="D32" s="100">
        <v>48660180</v>
      </c>
      <c r="E32" s="110"/>
      <c r="F32" s="110"/>
      <c r="G32" s="100">
        <f>D32</f>
        <v>48660180</v>
      </c>
      <c r="H32" s="136">
        <f>G32</f>
        <v>48660180</v>
      </c>
      <c r="I32" s="88"/>
      <c r="J32" s="88"/>
    </row>
    <row r="33" spans="1:10" s="11" customFormat="1" x14ac:dyDescent="0.2">
      <c r="A33" s="20"/>
      <c r="B33" s="21" t="s">
        <v>43</v>
      </c>
      <c r="C33" s="100">
        <f>D33</f>
        <v>1491660</v>
      </c>
      <c r="D33" s="100">
        <f>625660+866000</f>
        <v>1491660</v>
      </c>
      <c r="E33" s="110"/>
      <c r="F33" s="110"/>
      <c r="G33" s="100">
        <f>D33</f>
        <v>1491660</v>
      </c>
      <c r="H33" s="136">
        <f>G33</f>
        <v>1491660</v>
      </c>
      <c r="I33" s="88"/>
      <c r="J33" s="88"/>
    </row>
    <row r="34" spans="1:10" ht="15.75" x14ac:dyDescent="0.25">
      <c r="A34" s="26">
        <v>4</v>
      </c>
      <c r="B34" s="27" t="s">
        <v>44</v>
      </c>
      <c r="C34" s="100"/>
      <c r="D34" s="100"/>
      <c r="E34" s="110"/>
      <c r="F34" s="110"/>
      <c r="G34" s="100"/>
      <c r="H34" s="137"/>
    </row>
    <row r="35" spans="1:10" ht="15.75" x14ac:dyDescent="0.25">
      <c r="A35" s="26">
        <v>5</v>
      </c>
      <c r="B35" s="27" t="s">
        <v>45</v>
      </c>
      <c r="C35" s="109">
        <f>D35</f>
        <v>800000</v>
      </c>
      <c r="D35" s="109">
        <v>800000</v>
      </c>
      <c r="E35" s="110"/>
      <c r="F35" s="110"/>
      <c r="G35" s="109">
        <f>D35</f>
        <v>800000</v>
      </c>
      <c r="H35" s="138">
        <f>G35</f>
        <v>800000</v>
      </c>
    </row>
    <row r="36" spans="1:10" ht="15.75" x14ac:dyDescent="0.25">
      <c r="A36" s="28">
        <v>6</v>
      </c>
      <c r="B36" s="29" t="s">
        <v>46</v>
      </c>
      <c r="C36" s="111"/>
      <c r="D36" s="111"/>
      <c r="E36" s="112"/>
      <c r="F36" s="112"/>
      <c r="G36" s="243"/>
      <c r="H36" s="244"/>
    </row>
    <row r="38" spans="1:10" x14ac:dyDescent="0.25">
      <c r="C38" s="16"/>
    </row>
  </sheetData>
  <mergeCells count="12">
    <mergeCell ref="A2:H2"/>
    <mergeCell ref="A1:H1"/>
    <mergeCell ref="A3:H3"/>
    <mergeCell ref="G6:H6"/>
    <mergeCell ref="E6:F7"/>
    <mergeCell ref="D7:D8"/>
    <mergeCell ref="A6:A8"/>
    <mergeCell ref="B6:B8"/>
    <mergeCell ref="C6:D6"/>
    <mergeCell ref="C7:C8"/>
    <mergeCell ref="G7:G8"/>
    <mergeCell ref="H7:H8"/>
  </mergeCells>
  <pageMargins left="0.2" right="0.2" top="0.26" bottom="0.2" header="0.2" footer="0.2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H45"/>
  <sheetViews>
    <sheetView topLeftCell="A27" workbookViewId="0">
      <selection activeCell="G44" sqref="G44"/>
    </sheetView>
  </sheetViews>
  <sheetFormatPr defaultColWidth="15.85546875" defaultRowHeight="15" x14ac:dyDescent="0.25"/>
  <cols>
    <col min="1" max="1" width="5" style="32" customWidth="1"/>
    <col min="2" max="2" width="39.7109375" style="32" customWidth="1"/>
    <col min="3" max="3" width="12" style="65" customWidth="1"/>
    <col min="4" max="4" width="11.85546875" style="66" customWidth="1"/>
    <col min="5" max="5" width="13.28515625" style="65" customWidth="1"/>
    <col min="6" max="6" width="15.140625" style="65" customWidth="1"/>
    <col min="7" max="7" width="14.28515625" style="65" customWidth="1"/>
    <col min="8" max="8" width="18.42578125" style="65" customWidth="1"/>
    <col min="9" max="16384" width="15.85546875" style="32"/>
  </cols>
  <sheetData>
    <row r="1" spans="1:8" ht="12.75" x14ac:dyDescent="0.2">
      <c r="C1" s="33"/>
      <c r="D1" s="34"/>
      <c r="E1" s="33"/>
      <c r="F1" s="33"/>
      <c r="G1" s="33"/>
      <c r="H1" s="33"/>
    </row>
    <row r="2" spans="1:8" ht="24" customHeight="1" x14ac:dyDescent="0.2">
      <c r="A2" s="285" t="s">
        <v>300</v>
      </c>
      <c r="B2" s="285"/>
      <c r="C2" s="285"/>
      <c r="D2" s="285"/>
      <c r="E2" s="285"/>
      <c r="F2" s="285"/>
      <c r="G2" s="285"/>
      <c r="H2" s="285"/>
    </row>
    <row r="3" spans="1:8" ht="18.75" x14ac:dyDescent="0.2">
      <c r="A3" s="287" t="s">
        <v>48</v>
      </c>
      <c r="B3" s="287"/>
      <c r="C3" s="287"/>
      <c r="D3" s="287"/>
      <c r="E3" s="287"/>
      <c r="F3" s="287"/>
      <c r="G3" s="287"/>
      <c r="H3" s="287"/>
    </row>
    <row r="4" spans="1:8" x14ac:dyDescent="0.25">
      <c r="A4" s="288" t="s">
        <v>295</v>
      </c>
      <c r="B4" s="288"/>
      <c r="C4" s="288"/>
      <c r="D4" s="288"/>
      <c r="E4" s="288"/>
      <c r="F4" s="288"/>
      <c r="G4" s="288"/>
      <c r="H4" s="288"/>
    </row>
    <row r="5" spans="1:8" x14ac:dyDescent="0.2">
      <c r="A5" s="35"/>
      <c r="B5" s="36"/>
      <c r="C5" s="37"/>
      <c r="D5" s="38"/>
      <c r="E5" s="37"/>
      <c r="F5" s="37"/>
      <c r="G5" s="37"/>
      <c r="H5" s="114" t="s">
        <v>298</v>
      </c>
    </row>
    <row r="6" spans="1:8" s="39" customFormat="1" ht="13.9" customHeight="1" x14ac:dyDescent="0.25">
      <c r="A6" s="289" t="s">
        <v>2</v>
      </c>
      <c r="B6" s="289" t="s">
        <v>49</v>
      </c>
      <c r="C6" s="286" t="s">
        <v>50</v>
      </c>
      <c r="D6" s="286"/>
      <c r="E6" s="286"/>
      <c r="F6" s="286" t="s">
        <v>51</v>
      </c>
      <c r="G6" s="286"/>
      <c r="H6" s="290" t="s">
        <v>148</v>
      </c>
    </row>
    <row r="7" spans="1:8" s="40" customFormat="1" ht="13.9" customHeight="1" x14ac:dyDescent="0.25">
      <c r="A7" s="289"/>
      <c r="B7" s="289"/>
      <c r="C7" s="286" t="s">
        <v>52</v>
      </c>
      <c r="D7" s="286" t="s">
        <v>53</v>
      </c>
      <c r="E7" s="286"/>
      <c r="F7" s="286" t="s">
        <v>52</v>
      </c>
      <c r="G7" s="286" t="s">
        <v>54</v>
      </c>
      <c r="H7" s="290"/>
    </row>
    <row r="8" spans="1:8" s="40" customFormat="1" ht="68.25" customHeight="1" x14ac:dyDescent="0.25">
      <c r="A8" s="289"/>
      <c r="B8" s="289"/>
      <c r="C8" s="286"/>
      <c r="D8" s="96" t="s">
        <v>139</v>
      </c>
      <c r="E8" s="96" t="s">
        <v>140</v>
      </c>
      <c r="F8" s="286"/>
      <c r="G8" s="286"/>
      <c r="H8" s="290"/>
    </row>
    <row r="9" spans="1:8" s="44" customFormat="1" ht="14.25" x14ac:dyDescent="0.25">
      <c r="A9" s="41" t="s">
        <v>55</v>
      </c>
      <c r="B9" s="42" t="s">
        <v>56</v>
      </c>
      <c r="C9" s="90">
        <f>SUM(D9:E9)</f>
        <v>14626081</v>
      </c>
      <c r="D9" s="43">
        <f>D11+D17+D18+D19</f>
        <v>6095061</v>
      </c>
      <c r="E9" s="43">
        <f t="shared" ref="E9" si="0">E11+E17+E18+E19</f>
        <v>8531020</v>
      </c>
      <c r="F9" s="43">
        <f t="shared" ref="F9:G9" si="1">F11+F17+F18+F19</f>
        <v>40493759</v>
      </c>
      <c r="G9" s="43">
        <f t="shared" si="1"/>
        <v>40493759</v>
      </c>
      <c r="H9" s="43">
        <f>H11+H17+H18+H19</f>
        <v>55119840</v>
      </c>
    </row>
    <row r="10" spans="1:8" s="44" customFormat="1" ht="14.25" x14ac:dyDescent="0.25">
      <c r="A10" s="41"/>
      <c r="B10" s="42" t="s">
        <v>57</v>
      </c>
      <c r="C10" s="90">
        <f>SUM(D10:E10)</f>
        <v>12958181</v>
      </c>
      <c r="D10" s="43">
        <f>D12+D17+D18+D19</f>
        <v>6093561</v>
      </c>
      <c r="E10" s="43">
        <f t="shared" ref="E10" si="2">E12+E17+E18+E19</f>
        <v>6864620</v>
      </c>
      <c r="F10" s="43">
        <f t="shared" ref="F10:G10" si="3">F12+F17+F19</f>
        <v>40493759</v>
      </c>
      <c r="G10" s="43">
        <f t="shared" si="3"/>
        <v>40493759</v>
      </c>
      <c r="H10" s="43">
        <f>H12+H17+H18+H19</f>
        <v>53451940</v>
      </c>
    </row>
    <row r="11" spans="1:8" s="44" customFormat="1" ht="14.25" x14ac:dyDescent="0.25">
      <c r="A11" s="41" t="s">
        <v>4</v>
      </c>
      <c r="B11" s="42" t="s">
        <v>58</v>
      </c>
      <c r="C11" s="90">
        <f>SUM(D11:E11)</f>
        <v>4168000</v>
      </c>
      <c r="D11" s="43">
        <f>D13+D15</f>
        <v>35000</v>
      </c>
      <c r="E11" s="43">
        <f>E13+E15</f>
        <v>4133000</v>
      </c>
      <c r="F11" s="43">
        <f t="shared" ref="F11:H11" si="4">F13+F15</f>
        <v>0</v>
      </c>
      <c r="G11" s="43">
        <f t="shared" si="4"/>
        <v>0</v>
      </c>
      <c r="H11" s="43">
        <f t="shared" si="4"/>
        <v>4168000</v>
      </c>
    </row>
    <row r="12" spans="1:8" s="44" customFormat="1" ht="14.25" x14ac:dyDescent="0.25">
      <c r="A12" s="41"/>
      <c r="B12" s="42" t="s">
        <v>57</v>
      </c>
      <c r="C12" s="90">
        <f>C14+C16</f>
        <v>2500100</v>
      </c>
      <c r="D12" s="140">
        <f>D14+D16</f>
        <v>33500</v>
      </c>
      <c r="E12" s="90">
        <f t="shared" ref="E12" si="5">E14+E16</f>
        <v>2466600</v>
      </c>
      <c r="F12" s="90">
        <f t="shared" ref="F12:H12" si="6">F14+F16</f>
        <v>0</v>
      </c>
      <c r="G12" s="90">
        <f t="shared" si="6"/>
        <v>0</v>
      </c>
      <c r="H12" s="90">
        <f t="shared" si="6"/>
        <v>2500100</v>
      </c>
    </row>
    <row r="13" spans="1:8" s="48" customFormat="1" x14ac:dyDescent="0.25">
      <c r="A13" s="45">
        <v>1</v>
      </c>
      <c r="B13" s="46" t="s">
        <v>59</v>
      </c>
      <c r="C13" s="91">
        <v>700000</v>
      </c>
      <c r="D13" s="91"/>
      <c r="E13" s="91">
        <v>700000</v>
      </c>
      <c r="F13" s="47"/>
      <c r="G13" s="47"/>
      <c r="H13" s="47">
        <v>700000</v>
      </c>
    </row>
    <row r="14" spans="1:8" s="48" customFormat="1" x14ac:dyDescent="0.25">
      <c r="A14" s="45"/>
      <c r="B14" s="46" t="s">
        <v>60</v>
      </c>
      <c r="C14" s="91">
        <f>E14</f>
        <v>280000</v>
      </c>
      <c r="D14" s="91"/>
      <c r="E14" s="91">
        <v>280000</v>
      </c>
      <c r="F14" s="47"/>
      <c r="G14" s="47"/>
      <c r="H14" s="47">
        <f t="shared" ref="H14:H18" si="7">F14+C14</f>
        <v>280000</v>
      </c>
    </row>
    <row r="15" spans="1:8" s="49" customFormat="1" x14ac:dyDescent="0.25">
      <c r="A15" s="45">
        <v>2</v>
      </c>
      <c r="B15" s="46" t="s">
        <v>61</v>
      </c>
      <c r="C15" s="91">
        <f>SUM(D15:E15)</f>
        <v>3468000</v>
      </c>
      <c r="D15" s="91">
        <v>35000</v>
      </c>
      <c r="E15" s="91">
        <f>4133000-700000</f>
        <v>3433000</v>
      </c>
      <c r="F15" s="47"/>
      <c r="G15" s="47"/>
      <c r="H15" s="47">
        <f t="shared" si="7"/>
        <v>3468000</v>
      </c>
    </row>
    <row r="16" spans="1:8" s="49" customFormat="1" x14ac:dyDescent="0.25">
      <c r="A16" s="45"/>
      <c r="B16" s="46" t="s">
        <v>60</v>
      </c>
      <c r="C16" s="91">
        <f>SUM(D16:E16)</f>
        <v>2220100</v>
      </c>
      <c r="D16" s="139">
        <v>33500</v>
      </c>
      <c r="E16" s="91">
        <f>2467850-120000-161250</f>
        <v>2186600</v>
      </c>
      <c r="F16" s="47"/>
      <c r="G16" s="47"/>
      <c r="H16" s="47">
        <f t="shared" si="7"/>
        <v>2220100</v>
      </c>
    </row>
    <row r="17" spans="1:8" s="44" customFormat="1" ht="28.5" x14ac:dyDescent="0.25">
      <c r="A17" s="41" t="s">
        <v>9</v>
      </c>
      <c r="B17" s="50" t="s">
        <v>44</v>
      </c>
      <c r="C17" s="90"/>
      <c r="D17" s="92"/>
      <c r="E17" s="97"/>
      <c r="F17" s="43"/>
      <c r="G17" s="43"/>
      <c r="H17" s="43">
        <f t="shared" si="7"/>
        <v>0</v>
      </c>
    </row>
    <row r="18" spans="1:8" s="44" customFormat="1" ht="28.5" x14ac:dyDescent="0.25">
      <c r="A18" s="41" t="s">
        <v>62</v>
      </c>
      <c r="B18" s="50" t="s">
        <v>63</v>
      </c>
      <c r="C18" s="43">
        <f>SUM(D18:E18)</f>
        <v>800000</v>
      </c>
      <c r="D18" s="43"/>
      <c r="E18" s="43">
        <v>800000</v>
      </c>
      <c r="F18" s="43"/>
      <c r="G18" s="43"/>
      <c r="H18" s="43">
        <f t="shared" si="7"/>
        <v>800000</v>
      </c>
    </row>
    <row r="19" spans="1:8" s="44" customFormat="1" ht="14.25" x14ac:dyDescent="0.25">
      <c r="A19" s="41" t="s">
        <v>64</v>
      </c>
      <c r="B19" s="42" t="s">
        <v>65</v>
      </c>
      <c r="C19" s="43">
        <f>C20+C21</f>
        <v>9658081</v>
      </c>
      <c r="D19" s="43">
        <f t="shared" ref="D19:E19" si="8">D20+D21</f>
        <v>6060061</v>
      </c>
      <c r="E19" s="43">
        <f t="shared" si="8"/>
        <v>3598020</v>
      </c>
      <c r="F19" s="43">
        <f t="shared" ref="F19" si="9">F20+F21</f>
        <v>40493759</v>
      </c>
      <c r="G19" s="43">
        <f t="shared" ref="G19" si="10">G20+G21</f>
        <v>40493759</v>
      </c>
      <c r="H19" s="43">
        <f t="shared" ref="H19" si="11">H20+H21</f>
        <v>50151840</v>
      </c>
    </row>
    <row r="20" spans="1:8" s="49" customFormat="1" x14ac:dyDescent="0.25">
      <c r="A20" s="45">
        <v>1</v>
      </c>
      <c r="B20" s="51" t="s">
        <v>66</v>
      </c>
      <c r="C20" s="47">
        <f>SUM(D20:E20)</f>
        <v>9032421</v>
      </c>
      <c r="D20" s="47">
        <v>5810061</v>
      </c>
      <c r="E20" s="47">
        <v>3222360</v>
      </c>
      <c r="F20" s="47">
        <v>39627759</v>
      </c>
      <c r="G20" s="47">
        <f>F20</f>
        <v>39627759</v>
      </c>
      <c r="H20" s="47">
        <f>F20+C20</f>
        <v>48660180</v>
      </c>
    </row>
    <row r="21" spans="1:8" s="53" customFormat="1" x14ac:dyDescent="0.25">
      <c r="A21" s="52">
        <v>2</v>
      </c>
      <c r="B21" s="51" t="s">
        <v>67</v>
      </c>
      <c r="C21" s="47">
        <f>SUM(D21:E21)</f>
        <v>625660</v>
      </c>
      <c r="D21" s="47">
        <v>250000</v>
      </c>
      <c r="E21" s="47">
        <v>375660</v>
      </c>
      <c r="F21" s="47">
        <v>866000</v>
      </c>
      <c r="G21" s="47">
        <v>866000</v>
      </c>
      <c r="H21" s="47">
        <f>F21+C21</f>
        <v>1491660</v>
      </c>
    </row>
    <row r="22" spans="1:8" s="44" customFormat="1" ht="14.25" x14ac:dyDescent="0.25">
      <c r="A22" s="41" t="s">
        <v>68</v>
      </c>
      <c r="B22" s="42" t="s">
        <v>69</v>
      </c>
      <c r="C22" s="43">
        <f>C23+C26+C39</f>
        <v>13119431</v>
      </c>
      <c r="D22" s="43">
        <f t="shared" ref="D22:E22" si="12">D23+D26+D39</f>
        <v>6093561</v>
      </c>
      <c r="E22" s="43">
        <f t="shared" si="12"/>
        <v>7025870</v>
      </c>
      <c r="F22" s="43">
        <f>F23+F26+F39</f>
        <v>39466509</v>
      </c>
      <c r="G22" s="43">
        <f>G23+G26+G39</f>
        <v>39466509</v>
      </c>
      <c r="H22" s="43">
        <f>H23+H26+H39</f>
        <v>52585940</v>
      </c>
    </row>
    <row r="23" spans="1:8" s="49" customFormat="1" x14ac:dyDescent="0.25">
      <c r="A23" s="41" t="s">
        <v>4</v>
      </c>
      <c r="B23" s="42" t="s">
        <v>70</v>
      </c>
      <c r="C23" s="43">
        <f>C24+C25</f>
        <v>280000</v>
      </c>
      <c r="D23" s="43">
        <f t="shared" ref="D23:E23" si="13">D24+D25</f>
        <v>0</v>
      </c>
      <c r="E23" s="43">
        <f t="shared" si="13"/>
        <v>280000</v>
      </c>
      <c r="F23" s="47"/>
      <c r="G23" s="47"/>
      <c r="H23" s="43">
        <f>F23+C23</f>
        <v>280000</v>
      </c>
    </row>
    <row r="24" spans="1:8" s="49" customFormat="1" ht="14.45" customHeight="1" x14ac:dyDescent="0.25">
      <c r="A24" s="45">
        <v>1</v>
      </c>
      <c r="B24" s="51" t="s">
        <v>71</v>
      </c>
      <c r="C24" s="47"/>
      <c r="D24" s="47"/>
      <c r="E24" s="47"/>
      <c r="F24" s="47"/>
      <c r="G24" s="47"/>
      <c r="H24" s="47">
        <f>F24+C24</f>
        <v>0</v>
      </c>
    </row>
    <row r="25" spans="1:8" s="55" customFormat="1" x14ac:dyDescent="0.25">
      <c r="A25" s="45">
        <v>2</v>
      </c>
      <c r="B25" s="54" t="s">
        <v>72</v>
      </c>
      <c r="C25" s="47">
        <f>SUM(D25:E25)</f>
        <v>280000</v>
      </c>
      <c r="D25" s="47"/>
      <c r="E25" s="47">
        <v>280000</v>
      </c>
      <c r="F25" s="47"/>
      <c r="G25" s="47"/>
      <c r="H25" s="47">
        <f>F25+C25</f>
        <v>280000</v>
      </c>
    </row>
    <row r="26" spans="1:8" s="58" customFormat="1" ht="14.25" x14ac:dyDescent="0.25">
      <c r="A26" s="56" t="s">
        <v>9</v>
      </c>
      <c r="B26" s="57" t="s">
        <v>73</v>
      </c>
      <c r="C26" s="43">
        <f>SUM(C27:C37)</f>
        <v>12596505</v>
      </c>
      <c r="D26" s="43">
        <f>SUM(D27:D37)</f>
        <v>5981549</v>
      </c>
      <c r="E26" s="43">
        <f t="shared" ref="E26:F26" si="14">SUM(E27:E37)</f>
        <v>6614956</v>
      </c>
      <c r="F26" s="43">
        <f t="shared" si="14"/>
        <v>38369509</v>
      </c>
      <c r="G26" s="43">
        <f>SUM(G27:G37)</f>
        <v>38369509</v>
      </c>
      <c r="H26" s="43">
        <f>SUM(H27:H38)</f>
        <v>50966014</v>
      </c>
    </row>
    <row r="27" spans="1:8" s="61" customFormat="1" ht="15.75" x14ac:dyDescent="0.25">
      <c r="A27" s="59">
        <v>1</v>
      </c>
      <c r="B27" s="60" t="s">
        <v>122</v>
      </c>
      <c r="C27" s="47">
        <f t="shared" ref="C27:C39" si="15">SUM(D27:E27)</f>
        <v>1315016.382</v>
      </c>
      <c r="D27" s="93">
        <v>661191.38199999998</v>
      </c>
      <c r="E27" s="93">
        <v>653825</v>
      </c>
      <c r="F27" s="47"/>
      <c r="G27" s="124"/>
      <c r="H27" s="47">
        <f>C27</f>
        <v>1315016.382</v>
      </c>
    </row>
    <row r="28" spans="1:8" s="61" customFormat="1" x14ac:dyDescent="0.25">
      <c r="A28" s="59">
        <v>2</v>
      </c>
      <c r="B28" s="60" t="s">
        <v>74</v>
      </c>
      <c r="C28" s="47">
        <f t="shared" si="15"/>
        <v>7000</v>
      </c>
      <c r="D28" s="93"/>
      <c r="E28" s="93">
        <v>7000</v>
      </c>
      <c r="F28" s="47">
        <f>G28</f>
        <v>28593130</v>
      </c>
      <c r="G28" s="47">
        <v>28593130</v>
      </c>
      <c r="H28" s="47">
        <f>C28+F28</f>
        <v>28600130</v>
      </c>
    </row>
    <row r="29" spans="1:8" s="61" customFormat="1" x14ac:dyDescent="0.25">
      <c r="A29" s="59">
        <v>3</v>
      </c>
      <c r="B29" s="60" t="s">
        <v>75</v>
      </c>
      <c r="C29" s="47">
        <f t="shared" si="15"/>
        <v>75008</v>
      </c>
      <c r="D29" s="93">
        <v>33696</v>
      </c>
      <c r="E29" s="93">
        <v>41312</v>
      </c>
      <c r="F29" s="47">
        <f t="shared" ref="F29:F37" si="16">G29</f>
        <v>936000</v>
      </c>
      <c r="G29" s="47">
        <v>936000</v>
      </c>
      <c r="H29" s="47">
        <f>C29+F29</f>
        <v>1011008</v>
      </c>
    </row>
    <row r="30" spans="1:8" s="61" customFormat="1" x14ac:dyDescent="0.25">
      <c r="A30" s="59">
        <v>4</v>
      </c>
      <c r="B30" s="60" t="s">
        <v>76</v>
      </c>
      <c r="C30" s="47">
        <f t="shared" si="15"/>
        <v>0</v>
      </c>
      <c r="D30" s="93"/>
      <c r="E30" s="93"/>
      <c r="F30" s="47">
        <f t="shared" si="16"/>
        <v>0</v>
      </c>
      <c r="G30" s="47">
        <v>0</v>
      </c>
      <c r="H30" s="47">
        <f t="shared" ref="H30:H39" si="17">C30+F30</f>
        <v>0</v>
      </c>
    </row>
    <row r="31" spans="1:8" s="61" customFormat="1" x14ac:dyDescent="0.25">
      <c r="A31" s="59">
        <v>5</v>
      </c>
      <c r="B31" s="62" t="s">
        <v>123</v>
      </c>
      <c r="C31" s="47">
        <f t="shared" si="15"/>
        <v>93100</v>
      </c>
      <c r="D31" s="93">
        <v>48100</v>
      </c>
      <c r="E31" s="93">
        <v>45000</v>
      </c>
      <c r="F31" s="47">
        <f t="shared" si="16"/>
        <v>67674</v>
      </c>
      <c r="G31" s="47">
        <v>67674</v>
      </c>
      <c r="H31" s="47">
        <f>C31+F31</f>
        <v>160774</v>
      </c>
    </row>
    <row r="32" spans="1:8" s="61" customFormat="1" x14ac:dyDescent="0.25">
      <c r="A32" s="59">
        <v>6</v>
      </c>
      <c r="B32" s="60" t="s">
        <v>77</v>
      </c>
      <c r="C32" s="47">
        <f t="shared" si="15"/>
        <v>0</v>
      </c>
      <c r="D32" s="93"/>
      <c r="E32" s="93"/>
      <c r="F32" s="47">
        <f t="shared" si="16"/>
        <v>0</v>
      </c>
      <c r="G32" s="47">
        <v>0</v>
      </c>
      <c r="H32" s="47">
        <f t="shared" ref="H32:H36" si="18">C32+F32</f>
        <v>0</v>
      </c>
    </row>
    <row r="33" spans="1:8" s="61" customFormat="1" x14ac:dyDescent="0.25">
      <c r="A33" s="59">
        <v>7</v>
      </c>
      <c r="B33" s="62" t="s">
        <v>78</v>
      </c>
      <c r="C33" s="47">
        <f t="shared" si="15"/>
        <v>0</v>
      </c>
      <c r="D33" s="94"/>
      <c r="E33" s="94"/>
      <c r="F33" s="47">
        <f t="shared" si="16"/>
        <v>0</v>
      </c>
      <c r="G33" s="47"/>
      <c r="H33" s="47">
        <f t="shared" si="18"/>
        <v>0</v>
      </c>
    </row>
    <row r="34" spans="1:8" s="61" customFormat="1" x14ac:dyDescent="0.25">
      <c r="A34" s="59">
        <v>8</v>
      </c>
      <c r="B34" s="60" t="s">
        <v>79</v>
      </c>
      <c r="C34" s="47">
        <f t="shared" si="15"/>
        <v>383660</v>
      </c>
      <c r="D34" s="93">
        <v>8000</v>
      </c>
      <c r="E34" s="93">
        <v>375660</v>
      </c>
      <c r="F34" s="47">
        <f t="shared" si="16"/>
        <v>995054</v>
      </c>
      <c r="G34" s="47">
        <v>995054</v>
      </c>
      <c r="H34" s="47">
        <f t="shared" si="18"/>
        <v>1378714</v>
      </c>
    </row>
    <row r="35" spans="1:8" s="61" customFormat="1" x14ac:dyDescent="0.25">
      <c r="A35" s="59">
        <v>9</v>
      </c>
      <c r="B35" s="60" t="s">
        <v>80</v>
      </c>
      <c r="C35" s="47">
        <f t="shared" si="15"/>
        <v>10594193.618000001</v>
      </c>
      <c r="D35" s="93">
        <f>5222257.618-33696</f>
        <v>5188561.6179999998</v>
      </c>
      <c r="E35" s="93">
        <f>5263992+141640</f>
        <v>5405632</v>
      </c>
      <c r="F35" s="47">
        <f t="shared" si="16"/>
        <v>4106706</v>
      </c>
      <c r="G35" s="47">
        <v>4106706</v>
      </c>
      <c r="H35" s="47">
        <f t="shared" si="18"/>
        <v>14700899.618000001</v>
      </c>
    </row>
    <row r="36" spans="1:8" s="61" customFormat="1" x14ac:dyDescent="0.25">
      <c r="A36" s="59">
        <v>10</v>
      </c>
      <c r="B36" s="60" t="s">
        <v>81</v>
      </c>
      <c r="C36" s="47">
        <f t="shared" si="15"/>
        <v>128527</v>
      </c>
      <c r="D36" s="93">
        <v>42000</v>
      </c>
      <c r="E36" s="93">
        <v>86527</v>
      </c>
      <c r="F36" s="47">
        <f t="shared" si="16"/>
        <v>3670945</v>
      </c>
      <c r="G36" s="47">
        <v>3670945</v>
      </c>
      <c r="H36" s="47">
        <f t="shared" si="18"/>
        <v>3799472</v>
      </c>
    </row>
    <row r="37" spans="1:8" s="61" customFormat="1" x14ac:dyDescent="0.25">
      <c r="A37" s="59">
        <v>11</v>
      </c>
      <c r="B37" s="60" t="s">
        <v>82</v>
      </c>
      <c r="C37" s="47">
        <f t="shared" si="15"/>
        <v>0</v>
      </c>
      <c r="D37" s="94"/>
      <c r="E37" s="94"/>
      <c r="F37" s="47">
        <f t="shared" si="16"/>
        <v>0</v>
      </c>
      <c r="G37" s="47"/>
      <c r="H37" s="47">
        <f t="shared" si="17"/>
        <v>0</v>
      </c>
    </row>
    <row r="38" spans="1:8" s="61" customFormat="1" ht="15.75" x14ac:dyDescent="0.25">
      <c r="A38" s="59">
        <v>12</v>
      </c>
      <c r="B38" s="157" t="s">
        <v>147</v>
      </c>
      <c r="C38" s="47"/>
      <c r="D38" s="94"/>
      <c r="E38" s="94"/>
      <c r="F38" s="47"/>
      <c r="G38" s="47"/>
      <c r="H38" s="47"/>
    </row>
    <row r="39" spans="1:8" s="61" customFormat="1" x14ac:dyDescent="0.25">
      <c r="A39" s="56" t="s">
        <v>62</v>
      </c>
      <c r="B39" s="57" t="s">
        <v>83</v>
      </c>
      <c r="C39" s="43">
        <f t="shared" si="15"/>
        <v>242926</v>
      </c>
      <c r="D39" s="95">
        <v>112012</v>
      </c>
      <c r="E39" s="95">
        <v>130914</v>
      </c>
      <c r="F39" s="43">
        <f>G39</f>
        <v>1097000</v>
      </c>
      <c r="G39" s="43">
        <v>1097000</v>
      </c>
      <c r="H39" s="43">
        <f t="shared" si="17"/>
        <v>1339926</v>
      </c>
    </row>
    <row r="40" spans="1:8" ht="15.75" x14ac:dyDescent="0.25">
      <c r="A40" s="256" t="s">
        <v>105</v>
      </c>
      <c r="B40" s="257" t="s">
        <v>311</v>
      </c>
      <c r="C40" s="258"/>
      <c r="D40" s="259"/>
      <c r="E40" s="258"/>
      <c r="F40" s="258">
        <v>866000</v>
      </c>
      <c r="G40" s="258">
        <v>866000</v>
      </c>
      <c r="H40" s="258">
        <f>G40</f>
        <v>866000</v>
      </c>
    </row>
    <row r="41" spans="1:8" x14ac:dyDescent="0.25">
      <c r="A41" s="63"/>
      <c r="B41" s="64"/>
    </row>
    <row r="42" spans="1:8" x14ac:dyDescent="0.25">
      <c r="A42" s="63"/>
      <c r="B42" s="64"/>
    </row>
    <row r="43" spans="1:8" x14ac:dyDescent="0.25">
      <c r="E43" s="66"/>
    </row>
    <row r="44" spans="1:8" x14ac:dyDescent="0.25">
      <c r="E44" s="66"/>
    </row>
    <row r="45" spans="1:8" x14ac:dyDescent="0.25">
      <c r="E45" s="66"/>
    </row>
  </sheetData>
  <mergeCells count="12">
    <mergeCell ref="A2:H2"/>
    <mergeCell ref="D7:E7"/>
    <mergeCell ref="F7:F8"/>
    <mergeCell ref="G7:G8"/>
    <mergeCell ref="A3:H3"/>
    <mergeCell ref="A4:H4"/>
    <mergeCell ref="A6:A8"/>
    <mergeCell ref="B6:B8"/>
    <mergeCell ref="C6:E6"/>
    <mergeCell ref="F6:G6"/>
    <mergeCell ref="H6:H8"/>
    <mergeCell ref="C7:C8"/>
  </mergeCells>
  <pageMargins left="0.55000000000000004" right="0.16" top="0.61" bottom="0.74803149606299213" header="0.31496062992125984" footer="0.31496062992125984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0"/>
  <sheetViews>
    <sheetView topLeftCell="A13" workbookViewId="0">
      <selection activeCell="E13" sqref="E13"/>
    </sheetView>
  </sheetViews>
  <sheetFormatPr defaultColWidth="9.140625" defaultRowHeight="18.75" x14ac:dyDescent="0.3"/>
  <cols>
    <col min="1" max="1" width="5.42578125" style="69" customWidth="1"/>
    <col min="2" max="2" width="31.5703125" style="69" customWidth="1"/>
    <col min="3" max="3" width="11.28515625" style="70" customWidth="1"/>
    <col min="4" max="4" width="11.42578125" style="70" customWidth="1"/>
    <col min="5" max="5" width="11.140625" style="70" customWidth="1"/>
    <col min="6" max="6" width="10.140625" style="70" bestFit="1" customWidth="1"/>
    <col min="7" max="7" width="11" style="70" customWidth="1"/>
    <col min="8" max="8" width="10.7109375" style="70" customWidth="1"/>
    <col min="9" max="9" width="11.140625" style="70" customWidth="1"/>
    <col min="10" max="10" width="11" style="70" customWidth="1"/>
    <col min="11" max="11" width="9.140625" style="68"/>
    <col min="12" max="12" width="20.140625" style="69" bestFit="1" customWidth="1"/>
    <col min="13" max="13" width="19.28515625" style="69" customWidth="1"/>
    <col min="14" max="14" width="13.5703125" style="69" bestFit="1" customWidth="1"/>
    <col min="15" max="16384" width="9.140625" style="69"/>
  </cols>
  <sheetData>
    <row r="1" spans="1:14" s="67" customFormat="1" ht="18" x14ac:dyDescent="0.25">
      <c r="A1" s="291" t="s">
        <v>84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</row>
    <row r="2" spans="1:14" ht="18" x14ac:dyDescent="0.25">
      <c r="A2" s="304" t="s">
        <v>301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</row>
    <row r="3" spans="1:14" x14ac:dyDescent="0.3">
      <c r="A3" s="302" t="s">
        <v>85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</row>
    <row r="4" spans="1:14" ht="18.75" customHeight="1" x14ac:dyDescent="0.25">
      <c r="A4" s="303" t="s">
        <v>293</v>
      </c>
      <c r="B4" s="303"/>
      <c r="C4" s="303"/>
      <c r="D4" s="303"/>
      <c r="E4" s="303"/>
      <c r="F4" s="303"/>
      <c r="G4" s="303"/>
      <c r="H4" s="303"/>
      <c r="I4" s="303"/>
      <c r="J4" s="303"/>
      <c r="K4" s="303"/>
    </row>
    <row r="5" spans="1:14" x14ac:dyDescent="0.3">
      <c r="A5" s="71"/>
      <c r="B5" s="71"/>
      <c r="J5" s="305" t="s">
        <v>299</v>
      </c>
      <c r="K5" s="305"/>
    </row>
    <row r="6" spans="1:14" ht="18" x14ac:dyDescent="0.25">
      <c r="A6" s="292" t="s">
        <v>2</v>
      </c>
      <c r="B6" s="292" t="s">
        <v>86</v>
      </c>
      <c r="C6" s="294" t="s">
        <v>107</v>
      </c>
      <c r="D6" s="299" t="s">
        <v>53</v>
      </c>
      <c r="E6" s="300"/>
      <c r="F6" s="300"/>
      <c r="G6" s="300"/>
      <c r="H6" s="300"/>
      <c r="I6" s="301"/>
      <c r="J6" s="294" t="s">
        <v>87</v>
      </c>
      <c r="K6" s="292" t="s">
        <v>88</v>
      </c>
    </row>
    <row r="7" spans="1:14" ht="18" x14ac:dyDescent="0.25">
      <c r="A7" s="293"/>
      <c r="B7" s="293"/>
      <c r="C7" s="295"/>
      <c r="D7" s="294" t="s">
        <v>89</v>
      </c>
      <c r="E7" s="296" t="s">
        <v>90</v>
      </c>
      <c r="F7" s="297"/>
      <c r="G7" s="294" t="s">
        <v>91</v>
      </c>
      <c r="H7" s="298" t="s">
        <v>90</v>
      </c>
      <c r="I7" s="298"/>
      <c r="J7" s="295"/>
      <c r="K7" s="293"/>
    </row>
    <row r="8" spans="1:14" ht="195" customHeight="1" x14ac:dyDescent="0.25">
      <c r="A8" s="293"/>
      <c r="B8" s="293"/>
      <c r="C8" s="295"/>
      <c r="D8" s="295"/>
      <c r="E8" s="98" t="s">
        <v>136</v>
      </c>
      <c r="F8" s="98" t="s">
        <v>92</v>
      </c>
      <c r="G8" s="295"/>
      <c r="H8" s="134" t="s">
        <v>141</v>
      </c>
      <c r="I8" s="134" t="s">
        <v>108</v>
      </c>
      <c r="J8" s="295"/>
      <c r="K8" s="293"/>
    </row>
    <row r="9" spans="1:14" ht="18" x14ac:dyDescent="0.25">
      <c r="A9" s="133" t="s">
        <v>55</v>
      </c>
      <c r="B9" s="133" t="s">
        <v>68</v>
      </c>
      <c r="C9" s="133" t="s">
        <v>109</v>
      </c>
      <c r="D9" s="133" t="s">
        <v>110</v>
      </c>
      <c r="E9" s="133">
        <v>3</v>
      </c>
      <c r="F9" s="133">
        <v>4</v>
      </c>
      <c r="G9" s="133" t="s">
        <v>111</v>
      </c>
      <c r="H9" s="133">
        <v>6</v>
      </c>
      <c r="I9" s="133">
        <v>7</v>
      </c>
      <c r="J9" s="133" t="s">
        <v>116</v>
      </c>
      <c r="K9" s="133">
        <v>9</v>
      </c>
    </row>
    <row r="10" spans="1:14" s="72" customFormat="1" x14ac:dyDescent="0.3">
      <c r="A10" s="131"/>
      <c r="B10" s="131" t="s">
        <v>93</v>
      </c>
      <c r="C10" s="132">
        <f>C11+C15+C39+C40</f>
        <v>53451940</v>
      </c>
      <c r="D10" s="132">
        <f t="shared" ref="D10:I10" si="0">D11+D15+D39+D40</f>
        <v>13119431</v>
      </c>
      <c r="E10" s="132">
        <f t="shared" si="0"/>
        <v>6434935.574</v>
      </c>
      <c r="F10" s="132">
        <f t="shared" si="0"/>
        <v>6684495.426</v>
      </c>
      <c r="G10" s="132">
        <f t="shared" si="0"/>
        <v>40332509</v>
      </c>
      <c r="H10" s="132">
        <f t="shared" si="0"/>
        <v>662517.6</v>
      </c>
      <c r="I10" s="132">
        <f t="shared" si="0"/>
        <v>39669991.399999999</v>
      </c>
      <c r="J10" s="132">
        <f>J11+J15+J39+J40</f>
        <v>46354486.825999998</v>
      </c>
      <c r="K10" s="132"/>
      <c r="L10" s="176">
        <f>E10+F10</f>
        <v>13119431</v>
      </c>
      <c r="M10" s="175">
        <f>7025.87+6093.761</f>
        <v>13119.631000000001</v>
      </c>
      <c r="N10" s="176">
        <f>M10-L10</f>
        <v>-13106311.369000001</v>
      </c>
    </row>
    <row r="11" spans="1:14" s="72" customFormat="1" x14ac:dyDescent="0.3">
      <c r="A11" s="116" t="s">
        <v>55</v>
      </c>
      <c r="B11" s="117" t="s">
        <v>94</v>
      </c>
      <c r="C11" s="123">
        <f>C12+C14</f>
        <v>280000</v>
      </c>
      <c r="D11" s="123">
        <f t="shared" ref="D11:J11" si="1">D12+D14</f>
        <v>280000</v>
      </c>
      <c r="E11" s="123">
        <f t="shared" si="1"/>
        <v>255237</v>
      </c>
      <c r="F11" s="123">
        <f t="shared" si="1"/>
        <v>24763</v>
      </c>
      <c r="G11" s="123">
        <f t="shared" si="1"/>
        <v>0</v>
      </c>
      <c r="H11" s="123">
        <f t="shared" si="1"/>
        <v>0</v>
      </c>
      <c r="I11" s="123">
        <f t="shared" si="1"/>
        <v>0</v>
      </c>
      <c r="J11" s="123">
        <f t="shared" si="1"/>
        <v>24763</v>
      </c>
      <c r="K11" s="123"/>
    </row>
    <row r="12" spans="1:14" s="73" customFormat="1" ht="15.75" x14ac:dyDescent="0.2">
      <c r="A12" s="118">
        <v>1</v>
      </c>
      <c r="B12" s="119" t="s">
        <v>70</v>
      </c>
      <c r="C12" s="124">
        <f>C13</f>
        <v>280000</v>
      </c>
      <c r="D12" s="124">
        <f t="shared" ref="D12:J12" si="2">D13</f>
        <v>280000</v>
      </c>
      <c r="E12" s="124">
        <f t="shared" si="2"/>
        <v>255237</v>
      </c>
      <c r="F12" s="124">
        <f>F13</f>
        <v>24763</v>
      </c>
      <c r="G12" s="124">
        <f t="shared" si="2"/>
        <v>0</v>
      </c>
      <c r="H12" s="124">
        <f t="shared" si="2"/>
        <v>0</v>
      </c>
      <c r="I12" s="124">
        <f t="shared" si="2"/>
        <v>0</v>
      </c>
      <c r="J12" s="124">
        <f t="shared" si="2"/>
        <v>24763</v>
      </c>
      <c r="K12" s="125"/>
      <c r="L12" s="245">
        <f>45493400-J10</f>
        <v>-861086.82599999756</v>
      </c>
    </row>
    <row r="13" spans="1:14" s="73" customFormat="1" ht="15.75" x14ac:dyDescent="0.2">
      <c r="A13" s="118"/>
      <c r="B13" s="119" t="s">
        <v>95</v>
      </c>
      <c r="C13" s="124">
        <f t="shared" ref="C13:C20" si="3">D13+G13</f>
        <v>280000</v>
      </c>
      <c r="D13" s="125">
        <v>280000</v>
      </c>
      <c r="E13" s="125">
        <v>255237</v>
      </c>
      <c r="F13" s="125">
        <f>D13-E13</f>
        <v>24763</v>
      </c>
      <c r="G13" s="125"/>
      <c r="H13" s="125"/>
      <c r="I13" s="125"/>
      <c r="J13" s="124">
        <f>F13</f>
        <v>24763</v>
      </c>
      <c r="K13" s="125"/>
    </row>
    <row r="14" spans="1:14" s="73" customFormat="1" ht="31.5" x14ac:dyDescent="0.2">
      <c r="A14" s="118">
        <v>2</v>
      </c>
      <c r="B14" s="119" t="s">
        <v>96</v>
      </c>
      <c r="C14" s="124">
        <f t="shared" si="3"/>
        <v>0</v>
      </c>
      <c r="D14" s="125"/>
      <c r="E14" s="125"/>
      <c r="F14" s="125"/>
      <c r="G14" s="125"/>
      <c r="H14" s="125"/>
      <c r="I14" s="125"/>
      <c r="J14" s="124"/>
      <c r="K14" s="125"/>
    </row>
    <row r="15" spans="1:14" s="74" customFormat="1" ht="15.75" x14ac:dyDescent="0.25">
      <c r="A15" s="116" t="s">
        <v>68</v>
      </c>
      <c r="B15" s="117" t="s">
        <v>97</v>
      </c>
      <c r="C15" s="123">
        <f>C16+C19+C24+C28+C29+C30+C31+C32+C33+C34+C38</f>
        <v>50966014</v>
      </c>
      <c r="D15" s="123">
        <f t="shared" ref="D15:I15" si="4">D16+D19+D24+D28+D29+D30+D31+D32+D33+D34+D38</f>
        <v>12596505</v>
      </c>
      <c r="E15" s="123">
        <f t="shared" si="4"/>
        <v>6123725.574</v>
      </c>
      <c r="F15" s="123">
        <f t="shared" si="4"/>
        <v>6472779.426</v>
      </c>
      <c r="G15" s="123">
        <f>G16+G19+G24+G28+G29+G30+G31+G32+G33+G34+G38</f>
        <v>38369509</v>
      </c>
      <c r="H15" s="123">
        <f t="shared" si="4"/>
        <v>638317.6</v>
      </c>
      <c r="I15" s="123">
        <f t="shared" si="4"/>
        <v>37731191.399999999</v>
      </c>
      <c r="J15" s="123">
        <f>J16+J19+J24+J28+J29+J30+J31+J32+J33+J34+J38</f>
        <v>44203970.825999998</v>
      </c>
      <c r="K15" s="126"/>
      <c r="L15" s="173">
        <f>J15+J39</f>
        <v>45487923.825999998</v>
      </c>
      <c r="M15" s="173">
        <f>E15+F15</f>
        <v>12596505</v>
      </c>
    </row>
    <row r="16" spans="1:14" s="74" customFormat="1" ht="15.75" x14ac:dyDescent="0.25">
      <c r="A16" s="116" t="s">
        <v>4</v>
      </c>
      <c r="B16" s="141" t="s">
        <v>122</v>
      </c>
      <c r="C16" s="123">
        <f>C17+C18</f>
        <v>1313241.767</v>
      </c>
      <c r="D16" s="123">
        <f t="shared" ref="D16:J16" si="5">D17+D18</f>
        <v>1313241.767</v>
      </c>
      <c r="E16" s="123">
        <f t="shared" si="5"/>
        <v>748154.60700000008</v>
      </c>
      <c r="F16" s="123">
        <f t="shared" si="5"/>
        <v>565087.15999999992</v>
      </c>
      <c r="G16" s="123">
        <f t="shared" si="5"/>
        <v>0</v>
      </c>
      <c r="H16" s="123">
        <f t="shared" si="5"/>
        <v>0</v>
      </c>
      <c r="I16" s="123">
        <f t="shared" si="5"/>
        <v>0</v>
      </c>
      <c r="J16" s="123">
        <f t="shared" si="5"/>
        <v>565087.15999999992</v>
      </c>
      <c r="K16" s="123"/>
      <c r="M16" s="174">
        <f>C16-'PL3 CHI CĐ'!C27</f>
        <v>-1774.6149999999907</v>
      </c>
    </row>
    <row r="17" spans="1:12" s="74" customFormat="1" ht="15.75" x14ac:dyDescent="0.25">
      <c r="A17" s="118">
        <v>1</v>
      </c>
      <c r="B17" s="144" t="s">
        <v>126</v>
      </c>
      <c r="C17" s="124">
        <f>D17+G17</f>
        <v>817447.83299999998</v>
      </c>
      <c r="D17" s="124">
        <f>E17+F17</f>
        <v>817447.83299999998</v>
      </c>
      <c r="E17" s="145">
        <v>503799.67300000001</v>
      </c>
      <c r="F17" s="145">
        <v>313648.15999999997</v>
      </c>
      <c r="G17" s="124"/>
      <c r="H17" s="124"/>
      <c r="I17" s="124"/>
      <c r="J17" s="124">
        <f>C17-E17-H17</f>
        <v>313648.15999999997</v>
      </c>
      <c r="K17" s="124"/>
    </row>
    <row r="18" spans="1:12" s="74" customFormat="1" ht="15.75" x14ac:dyDescent="0.25">
      <c r="A18" s="118">
        <v>2</v>
      </c>
      <c r="B18" s="144" t="s">
        <v>138</v>
      </c>
      <c r="C18" s="124">
        <f t="shared" si="3"/>
        <v>495793.93400000001</v>
      </c>
      <c r="D18" s="124">
        <f t="shared" ref="D18" si="6">E18+F18</f>
        <v>495793.93400000001</v>
      </c>
      <c r="E18" s="145">
        <v>244354.93400000001</v>
      </c>
      <c r="F18" s="145">
        <v>251439</v>
      </c>
      <c r="G18" s="124"/>
      <c r="H18" s="124"/>
      <c r="I18" s="124"/>
      <c r="J18" s="124">
        <f>C18-E18-H18</f>
        <v>251439</v>
      </c>
      <c r="K18" s="124"/>
    </row>
    <row r="19" spans="1:12" s="74" customFormat="1" ht="21" customHeight="1" x14ac:dyDescent="0.25">
      <c r="A19" s="116" t="s">
        <v>9</v>
      </c>
      <c r="B19" s="141" t="s">
        <v>74</v>
      </c>
      <c r="C19" s="123">
        <f t="shared" ref="C19:F19" si="7">SUM(C20:C23)</f>
        <v>28839132</v>
      </c>
      <c r="D19" s="123">
        <f t="shared" si="7"/>
        <v>246002</v>
      </c>
      <c r="E19" s="123">
        <f t="shared" si="7"/>
        <v>0</v>
      </c>
      <c r="F19" s="123">
        <f t="shared" si="7"/>
        <v>246002</v>
      </c>
      <c r="G19" s="123">
        <f>SUM(G20:G23)</f>
        <v>28593130</v>
      </c>
      <c r="H19" s="123">
        <f t="shared" ref="H19:J19" si="8">SUM(H20:H23)</f>
        <v>17755</v>
      </c>
      <c r="I19" s="123">
        <f t="shared" si="8"/>
        <v>28575375</v>
      </c>
      <c r="J19" s="123">
        <f t="shared" si="8"/>
        <v>28821377</v>
      </c>
      <c r="K19" s="123"/>
    </row>
    <row r="20" spans="1:12" s="74" customFormat="1" ht="31.5" x14ac:dyDescent="0.25">
      <c r="A20" s="118">
        <v>1</v>
      </c>
      <c r="B20" s="144" t="s">
        <v>98</v>
      </c>
      <c r="C20" s="124">
        <f t="shared" si="3"/>
        <v>26185658</v>
      </c>
      <c r="D20" s="124">
        <f t="shared" ref="D20:D22" si="9">E20+F20</f>
        <v>0</v>
      </c>
      <c r="E20" s="124"/>
      <c r="F20" s="124"/>
      <c r="G20" s="124">
        <v>26185658</v>
      </c>
      <c r="H20" s="124"/>
      <c r="I20" s="124">
        <f>G20-H20</f>
        <v>26185658</v>
      </c>
      <c r="J20" s="124">
        <f>C20-E20-H20</f>
        <v>26185658</v>
      </c>
      <c r="K20" s="124"/>
      <c r="L20" s="173">
        <f>E10+F10</f>
        <v>13119431</v>
      </c>
    </row>
    <row r="21" spans="1:12" s="74" customFormat="1" ht="31.5" x14ac:dyDescent="0.25">
      <c r="A21" s="118">
        <v>2</v>
      </c>
      <c r="B21" s="144" t="s">
        <v>128</v>
      </c>
      <c r="C21" s="124">
        <f>D21+G21</f>
        <v>608100</v>
      </c>
      <c r="D21" s="124">
        <f t="shared" si="9"/>
        <v>0</v>
      </c>
      <c r="E21" s="124"/>
      <c r="F21" s="124"/>
      <c r="G21" s="124">
        <v>608100</v>
      </c>
      <c r="H21" s="124"/>
      <c r="I21" s="124">
        <f>G21-H21</f>
        <v>608100</v>
      </c>
      <c r="J21" s="124">
        <f>C21-E21-H21</f>
        <v>608100</v>
      </c>
      <c r="K21" s="124"/>
    </row>
    <row r="22" spans="1:12" s="74" customFormat="1" ht="31.5" x14ac:dyDescent="0.25">
      <c r="A22" s="118">
        <v>3</v>
      </c>
      <c r="B22" s="144" t="s">
        <v>127</v>
      </c>
      <c r="C22" s="124">
        <f t="shared" ref="C22:C39" si="10">D22+G22</f>
        <v>50000</v>
      </c>
      <c r="D22" s="124">
        <f t="shared" si="9"/>
        <v>0</v>
      </c>
      <c r="E22" s="124"/>
      <c r="F22" s="124"/>
      <c r="G22" s="124">
        <v>50000</v>
      </c>
      <c r="H22" s="124">
        <f>11205+6550</f>
        <v>17755</v>
      </c>
      <c r="I22" s="124">
        <f t="shared" ref="I22:I23" si="11">G22-H22</f>
        <v>32245</v>
      </c>
      <c r="J22" s="124">
        <f t="shared" ref="J22:J31" si="12">C22-E22-H22</f>
        <v>32245</v>
      </c>
      <c r="K22" s="124"/>
    </row>
    <row r="23" spans="1:12" s="74" customFormat="1" ht="31.5" x14ac:dyDescent="0.25">
      <c r="A23" s="118">
        <v>4</v>
      </c>
      <c r="B23" s="144" t="s">
        <v>129</v>
      </c>
      <c r="C23" s="124">
        <f t="shared" si="10"/>
        <v>1995374</v>
      </c>
      <c r="D23" s="124">
        <f>E23+F23</f>
        <v>246002</v>
      </c>
      <c r="E23" s="145"/>
      <c r="F23" s="247">
        <v>246002</v>
      </c>
      <c r="G23" s="124">
        <v>1749372</v>
      </c>
      <c r="H23" s="124"/>
      <c r="I23" s="124">
        <f t="shared" si="11"/>
        <v>1749372</v>
      </c>
      <c r="J23" s="124">
        <f>C23-E23-H23</f>
        <v>1995374</v>
      </c>
      <c r="K23" s="124"/>
    </row>
    <row r="24" spans="1:12" s="74" customFormat="1" x14ac:dyDescent="0.25">
      <c r="A24" s="115" t="s">
        <v>62</v>
      </c>
      <c r="B24" s="141" t="s">
        <v>75</v>
      </c>
      <c r="C24" s="123">
        <f t="shared" ref="C24:F24" si="13">SUM(C25:C27)</f>
        <v>1011008</v>
      </c>
      <c r="D24" s="123">
        <f t="shared" si="13"/>
        <v>75008</v>
      </c>
      <c r="E24" s="123">
        <f t="shared" si="13"/>
        <v>2000</v>
      </c>
      <c r="F24" s="123">
        <f t="shared" si="13"/>
        <v>73008</v>
      </c>
      <c r="G24" s="123">
        <f>SUM(G25:G27)</f>
        <v>936000</v>
      </c>
      <c r="H24" s="123">
        <f t="shared" ref="H24:J24" si="14">SUM(H25:H27)</f>
        <v>0</v>
      </c>
      <c r="I24" s="123">
        <f t="shared" si="14"/>
        <v>936000</v>
      </c>
      <c r="J24" s="123">
        <f t="shared" si="14"/>
        <v>1009008</v>
      </c>
      <c r="K24" s="127"/>
    </row>
    <row r="25" spans="1:12" s="73" customFormat="1" x14ac:dyDescent="0.2">
      <c r="A25" s="121">
        <v>1</v>
      </c>
      <c r="B25" s="144" t="s">
        <v>130</v>
      </c>
      <c r="C25" s="124">
        <f t="shared" si="10"/>
        <v>936000</v>
      </c>
      <c r="D25" s="124">
        <f t="shared" ref="D25" si="15">E25+F25</f>
        <v>0</v>
      </c>
      <c r="E25" s="124"/>
      <c r="F25" s="124"/>
      <c r="G25" s="124">
        <v>936000</v>
      </c>
      <c r="H25" s="124"/>
      <c r="I25" s="124">
        <f>G25-H25</f>
        <v>936000</v>
      </c>
      <c r="J25" s="124">
        <f t="shared" si="12"/>
        <v>936000</v>
      </c>
      <c r="K25" s="128"/>
    </row>
    <row r="26" spans="1:12" s="73" customFormat="1" x14ac:dyDescent="0.25">
      <c r="A26" s="121">
        <v>2</v>
      </c>
      <c r="B26" s="144" t="s">
        <v>131</v>
      </c>
      <c r="C26" s="124">
        <f t="shared" si="10"/>
        <v>73008</v>
      </c>
      <c r="D26" s="124">
        <f>E26+F26</f>
        <v>73008</v>
      </c>
      <c r="E26" s="145"/>
      <c r="F26" s="145">
        <v>73008</v>
      </c>
      <c r="G26" s="124"/>
      <c r="H26" s="124"/>
      <c r="I26" s="124"/>
      <c r="J26" s="124">
        <f t="shared" si="12"/>
        <v>73008</v>
      </c>
      <c r="K26" s="128"/>
    </row>
    <row r="27" spans="1:12" s="73" customFormat="1" x14ac:dyDescent="0.25">
      <c r="A27" s="121">
        <v>3</v>
      </c>
      <c r="B27" s="144" t="s">
        <v>132</v>
      </c>
      <c r="C27" s="124">
        <f t="shared" si="10"/>
        <v>2000</v>
      </c>
      <c r="D27" s="124">
        <f t="shared" ref="D27:D37" si="16">E27+F27</f>
        <v>2000</v>
      </c>
      <c r="E27" s="145">
        <v>2000</v>
      </c>
      <c r="F27" s="145">
        <v>0</v>
      </c>
      <c r="G27" s="124"/>
      <c r="H27" s="124"/>
      <c r="I27" s="124"/>
      <c r="J27" s="124">
        <f t="shared" si="12"/>
        <v>0</v>
      </c>
      <c r="K27" s="128"/>
    </row>
    <row r="28" spans="1:12" s="74" customFormat="1" x14ac:dyDescent="0.25">
      <c r="A28" s="115" t="s">
        <v>64</v>
      </c>
      <c r="B28" s="141" t="s">
        <v>76</v>
      </c>
      <c r="C28" s="124">
        <f t="shared" si="10"/>
        <v>0</v>
      </c>
      <c r="D28" s="124">
        <f t="shared" si="16"/>
        <v>0</v>
      </c>
      <c r="E28" s="124"/>
      <c r="F28" s="124"/>
      <c r="G28" s="124"/>
      <c r="H28" s="124"/>
      <c r="I28" s="124">
        <f t="shared" ref="I28:I34" si="17">G28-H28</f>
        <v>0</v>
      </c>
      <c r="J28" s="124">
        <f t="shared" si="12"/>
        <v>0</v>
      </c>
      <c r="K28" s="124"/>
    </row>
    <row r="29" spans="1:12" s="74" customFormat="1" x14ac:dyDescent="0.25">
      <c r="A29" s="115" t="s">
        <v>99</v>
      </c>
      <c r="B29" s="142" t="s">
        <v>123</v>
      </c>
      <c r="C29" s="123">
        <f t="shared" si="10"/>
        <v>105054</v>
      </c>
      <c r="D29" s="123">
        <f t="shared" si="16"/>
        <v>37380</v>
      </c>
      <c r="E29" s="143">
        <v>37380</v>
      </c>
      <c r="F29" s="143"/>
      <c r="G29" s="123">
        <v>67674</v>
      </c>
      <c r="H29" s="123"/>
      <c r="I29" s="123">
        <f t="shared" si="17"/>
        <v>67674</v>
      </c>
      <c r="J29" s="123">
        <f t="shared" si="12"/>
        <v>67674</v>
      </c>
      <c r="K29" s="123"/>
    </row>
    <row r="30" spans="1:12" s="74" customFormat="1" ht="15.75" x14ac:dyDescent="0.25">
      <c r="A30" s="116" t="s">
        <v>100</v>
      </c>
      <c r="B30" s="141" t="s">
        <v>77</v>
      </c>
      <c r="C30" s="124">
        <f t="shared" si="10"/>
        <v>0</v>
      </c>
      <c r="D30" s="124">
        <f t="shared" si="16"/>
        <v>0</v>
      </c>
      <c r="E30" s="124"/>
      <c r="F30" s="124"/>
      <c r="G30" s="124"/>
      <c r="H30" s="124"/>
      <c r="I30" s="124">
        <f t="shared" si="17"/>
        <v>0</v>
      </c>
      <c r="J30" s="124">
        <f t="shared" si="12"/>
        <v>0</v>
      </c>
      <c r="K30" s="124"/>
    </row>
    <row r="31" spans="1:12" s="74" customFormat="1" ht="31.5" x14ac:dyDescent="0.25">
      <c r="A31" s="116" t="s">
        <v>101</v>
      </c>
      <c r="B31" s="142" t="s">
        <v>78</v>
      </c>
      <c r="C31" s="124">
        <f t="shared" si="10"/>
        <v>0</v>
      </c>
      <c r="D31" s="124">
        <f t="shared" si="16"/>
        <v>0</v>
      </c>
      <c r="E31" s="125"/>
      <c r="F31" s="125"/>
      <c r="G31" s="125"/>
      <c r="H31" s="125"/>
      <c r="I31" s="124">
        <f t="shared" si="17"/>
        <v>0</v>
      </c>
      <c r="J31" s="124">
        <f t="shared" si="12"/>
        <v>0</v>
      </c>
      <c r="K31" s="125"/>
    </row>
    <row r="32" spans="1:12" s="74" customFormat="1" ht="15.75" x14ac:dyDescent="0.25">
      <c r="A32" s="116" t="s">
        <v>102</v>
      </c>
      <c r="B32" s="141" t="s">
        <v>79</v>
      </c>
      <c r="C32" s="123">
        <f t="shared" si="10"/>
        <v>1378714</v>
      </c>
      <c r="D32" s="123">
        <f t="shared" si="16"/>
        <v>383660</v>
      </c>
      <c r="E32" s="126">
        <v>127790</v>
      </c>
      <c r="F32" s="123">
        <v>255870</v>
      </c>
      <c r="G32" s="126">
        <v>995054</v>
      </c>
      <c r="H32" s="126">
        <v>524863</v>
      </c>
      <c r="I32" s="123">
        <f>G32-H32</f>
        <v>470191</v>
      </c>
      <c r="J32" s="123">
        <f t="shared" ref="J32:J39" si="18">C32-E32-H32</f>
        <v>726061</v>
      </c>
      <c r="K32" s="126"/>
    </row>
    <row r="33" spans="1:13" s="74" customFormat="1" ht="15.75" x14ac:dyDescent="0.25">
      <c r="A33" s="116" t="s">
        <v>103</v>
      </c>
      <c r="B33" s="120" t="s">
        <v>80</v>
      </c>
      <c r="C33" s="123">
        <f>D33+G33</f>
        <v>14519392.232999999</v>
      </c>
      <c r="D33" s="123">
        <f t="shared" si="16"/>
        <v>10412686.232999999</v>
      </c>
      <c r="E33" s="143">
        <v>5145400.9670000002</v>
      </c>
      <c r="F33" s="143">
        <v>5267285.2659999998</v>
      </c>
      <c r="G33" s="123">
        <f>4106706-G17</f>
        <v>4106706</v>
      </c>
      <c r="H33" s="123">
        <v>69440</v>
      </c>
      <c r="I33" s="123">
        <f>G33-H33</f>
        <v>4037266</v>
      </c>
      <c r="J33" s="123">
        <f>C33-E33-H33</f>
        <v>9304551.2659999989</v>
      </c>
      <c r="K33" s="123"/>
      <c r="M33" s="173">
        <f>E33+H33</f>
        <v>5214840.9670000002</v>
      </c>
    </row>
    <row r="34" spans="1:13" s="74" customFormat="1" ht="15.75" x14ac:dyDescent="0.25">
      <c r="A34" s="116" t="s">
        <v>137</v>
      </c>
      <c r="B34" s="141" t="s">
        <v>81</v>
      </c>
      <c r="C34" s="123">
        <f>D34+G34</f>
        <v>3799472</v>
      </c>
      <c r="D34" s="123">
        <f t="shared" si="16"/>
        <v>128527</v>
      </c>
      <c r="E34" s="143">
        <v>63000</v>
      </c>
      <c r="F34" s="143">
        <v>65527</v>
      </c>
      <c r="G34" s="123">
        <v>3670945</v>
      </c>
      <c r="H34" s="123">
        <v>26259.599999999999</v>
      </c>
      <c r="I34" s="123">
        <f t="shared" si="17"/>
        <v>3644685.4</v>
      </c>
      <c r="J34" s="123">
        <f>C34-E34-H34</f>
        <v>3710212.4</v>
      </c>
      <c r="K34" s="127"/>
    </row>
    <row r="35" spans="1:13" s="74" customFormat="1" ht="47.25" hidden="1" x14ac:dyDescent="0.25">
      <c r="A35" s="116"/>
      <c r="B35" s="122" t="s">
        <v>133</v>
      </c>
      <c r="C35" s="123">
        <f t="shared" si="10"/>
        <v>0</v>
      </c>
      <c r="D35" s="123">
        <f t="shared" si="16"/>
        <v>0</v>
      </c>
      <c r="E35" s="123"/>
      <c r="F35" s="123"/>
      <c r="G35" s="123"/>
      <c r="H35" s="123"/>
      <c r="I35" s="123"/>
      <c r="J35" s="123">
        <f t="shared" si="18"/>
        <v>0</v>
      </c>
      <c r="K35" s="127"/>
    </row>
    <row r="36" spans="1:13" s="74" customFormat="1" ht="15.75" hidden="1" x14ac:dyDescent="0.25">
      <c r="A36" s="116"/>
      <c r="B36" s="122" t="s">
        <v>134</v>
      </c>
      <c r="C36" s="123">
        <f t="shared" si="10"/>
        <v>0</v>
      </c>
      <c r="D36" s="123">
        <f t="shared" si="16"/>
        <v>0</v>
      </c>
      <c r="E36" s="123"/>
      <c r="F36" s="123"/>
      <c r="G36" s="123"/>
      <c r="H36" s="123"/>
      <c r="I36" s="123"/>
      <c r="J36" s="123">
        <f t="shared" si="18"/>
        <v>0</v>
      </c>
      <c r="K36" s="127"/>
    </row>
    <row r="37" spans="1:13" s="74" customFormat="1" ht="31.5" hidden="1" x14ac:dyDescent="0.25">
      <c r="A37" s="116"/>
      <c r="B37" s="122" t="s">
        <v>135</v>
      </c>
      <c r="C37" s="123">
        <f t="shared" si="10"/>
        <v>0</v>
      </c>
      <c r="D37" s="123">
        <f t="shared" si="16"/>
        <v>0</v>
      </c>
      <c r="E37" s="123"/>
      <c r="F37" s="123"/>
      <c r="G37" s="123"/>
      <c r="H37" s="123"/>
      <c r="I37" s="123"/>
      <c r="J37" s="123">
        <f t="shared" si="18"/>
        <v>0</v>
      </c>
      <c r="K37" s="127"/>
    </row>
    <row r="38" spans="1:13" s="74" customFormat="1" ht="15.75" x14ac:dyDescent="0.25">
      <c r="A38" s="116" t="s">
        <v>104</v>
      </c>
      <c r="B38" s="120" t="s">
        <v>82</v>
      </c>
      <c r="C38" s="123"/>
      <c r="D38" s="123"/>
      <c r="E38" s="143"/>
      <c r="F38" s="143"/>
      <c r="G38" s="123"/>
      <c r="H38" s="123"/>
      <c r="I38" s="123"/>
      <c r="J38" s="123"/>
      <c r="K38" s="123"/>
    </row>
    <row r="39" spans="1:13" s="74" customFormat="1" ht="15.75" x14ac:dyDescent="0.25">
      <c r="A39" s="116" t="s">
        <v>105</v>
      </c>
      <c r="B39" s="117" t="s">
        <v>106</v>
      </c>
      <c r="C39" s="123">
        <f t="shared" si="10"/>
        <v>1339926</v>
      </c>
      <c r="D39" s="123">
        <f>E39+F39</f>
        <v>242926</v>
      </c>
      <c r="E39" s="143">
        <v>55973</v>
      </c>
      <c r="F39" s="143">
        <v>186953</v>
      </c>
      <c r="G39" s="123">
        <v>1097000</v>
      </c>
      <c r="H39" s="124"/>
      <c r="I39" s="123">
        <f>G39-H39</f>
        <v>1097000</v>
      </c>
      <c r="J39" s="123">
        <f t="shared" si="18"/>
        <v>1283953</v>
      </c>
      <c r="K39" s="128"/>
      <c r="L39" s="74">
        <f>E39/D39</f>
        <v>0.23041173032116777</v>
      </c>
    </row>
    <row r="40" spans="1:13" s="74" customFormat="1" ht="21.75" customHeight="1" x14ac:dyDescent="0.25">
      <c r="A40" s="260" t="s">
        <v>309</v>
      </c>
      <c r="B40" s="260" t="s">
        <v>310</v>
      </c>
      <c r="C40" s="129">
        <f t="shared" ref="C40" si="19">D40+G40</f>
        <v>866000</v>
      </c>
      <c r="D40" s="129"/>
      <c r="E40" s="146"/>
      <c r="F40" s="146"/>
      <c r="G40" s="129">
        <v>866000</v>
      </c>
      <c r="H40" s="129">
        <v>24200</v>
      </c>
      <c r="I40" s="129">
        <f>G40-H40</f>
        <v>841800</v>
      </c>
      <c r="J40" s="129">
        <f t="shared" ref="J40" si="20">C40-E40-H40</f>
        <v>841800</v>
      </c>
      <c r="K40" s="130"/>
      <c r="L40" s="74" t="e">
        <f>E40/D40</f>
        <v>#DIV/0!</v>
      </c>
    </row>
    <row r="41" spans="1:13" x14ac:dyDescent="0.3">
      <c r="B41" s="68"/>
      <c r="K41" s="69"/>
    </row>
    <row r="42" spans="1:13" x14ac:dyDescent="0.3">
      <c r="B42" s="68"/>
      <c r="K42" s="69"/>
    </row>
    <row r="43" spans="1:13" x14ac:dyDescent="0.3">
      <c r="B43" s="68"/>
      <c r="K43" s="69"/>
    </row>
    <row r="44" spans="1:13" x14ac:dyDescent="0.3">
      <c r="B44" s="68"/>
      <c r="K44" s="69"/>
    </row>
    <row r="45" spans="1:13" x14ac:dyDescent="0.3">
      <c r="B45" s="68"/>
      <c r="K45" s="69"/>
    </row>
    <row r="46" spans="1:13" x14ac:dyDescent="0.3">
      <c r="B46" s="68"/>
      <c r="K46" s="69"/>
    </row>
    <row r="47" spans="1:13" x14ac:dyDescent="0.3">
      <c r="B47" s="68"/>
      <c r="K47" s="69"/>
    </row>
    <row r="48" spans="1:13" x14ac:dyDescent="0.3">
      <c r="B48" s="68"/>
      <c r="K48" s="69"/>
    </row>
    <row r="49" spans="2:11" x14ac:dyDescent="0.3">
      <c r="B49" s="68"/>
      <c r="K49" s="69"/>
    </row>
    <row r="50" spans="2:11" x14ac:dyDescent="0.3">
      <c r="B50" s="68"/>
      <c r="K50" s="69"/>
    </row>
    <row r="51" spans="2:11" x14ac:dyDescent="0.3">
      <c r="B51" s="68"/>
      <c r="C51" s="69"/>
      <c r="D51" s="69"/>
      <c r="E51" s="69"/>
      <c r="F51" s="69"/>
      <c r="G51" s="69"/>
      <c r="H51" s="69"/>
      <c r="I51" s="69"/>
      <c r="J51" s="69"/>
      <c r="K51" s="69"/>
    </row>
    <row r="52" spans="2:11" x14ac:dyDescent="0.3">
      <c r="B52" s="68"/>
      <c r="C52" s="69"/>
      <c r="D52" s="69"/>
      <c r="E52" s="69"/>
      <c r="F52" s="69"/>
      <c r="G52" s="69"/>
      <c r="H52" s="69"/>
      <c r="I52" s="69"/>
      <c r="J52" s="69"/>
      <c r="K52" s="69"/>
    </row>
    <row r="53" spans="2:11" x14ac:dyDescent="0.3">
      <c r="B53" s="68"/>
      <c r="C53" s="69"/>
      <c r="D53" s="69"/>
      <c r="E53" s="69"/>
      <c r="F53" s="69"/>
      <c r="G53" s="69"/>
      <c r="H53" s="69"/>
      <c r="I53" s="69"/>
      <c r="J53" s="69"/>
      <c r="K53" s="69"/>
    </row>
    <row r="54" spans="2:11" x14ac:dyDescent="0.3">
      <c r="B54" s="68"/>
      <c r="C54" s="69"/>
      <c r="D54" s="69"/>
      <c r="E54" s="69"/>
      <c r="F54" s="69"/>
      <c r="G54" s="69"/>
      <c r="H54" s="69"/>
      <c r="I54" s="69"/>
      <c r="J54" s="69"/>
      <c r="K54" s="69"/>
    </row>
    <row r="55" spans="2:11" x14ac:dyDescent="0.3">
      <c r="B55" s="68"/>
      <c r="C55" s="69"/>
      <c r="D55" s="69"/>
      <c r="E55" s="69"/>
      <c r="F55" s="69"/>
      <c r="G55" s="69"/>
      <c r="H55" s="69"/>
      <c r="I55" s="69"/>
      <c r="J55" s="69"/>
      <c r="K55" s="69"/>
    </row>
    <row r="56" spans="2:11" x14ac:dyDescent="0.3">
      <c r="B56" s="68"/>
      <c r="C56" s="69"/>
      <c r="D56" s="69"/>
      <c r="E56" s="69"/>
      <c r="F56" s="69"/>
      <c r="G56" s="69"/>
      <c r="H56" s="69"/>
      <c r="I56" s="69"/>
      <c r="J56" s="69"/>
      <c r="K56" s="69"/>
    </row>
    <row r="57" spans="2:11" x14ac:dyDescent="0.3">
      <c r="B57" s="68"/>
      <c r="C57" s="69"/>
      <c r="D57" s="69"/>
      <c r="E57" s="69"/>
      <c r="F57" s="69"/>
      <c r="G57" s="69"/>
      <c r="H57" s="69"/>
      <c r="I57" s="69"/>
      <c r="J57" s="69"/>
      <c r="K57" s="69"/>
    </row>
    <row r="58" spans="2:11" x14ac:dyDescent="0.3">
      <c r="B58" s="68"/>
      <c r="C58" s="69"/>
      <c r="D58" s="69"/>
      <c r="E58" s="69"/>
      <c r="F58" s="69"/>
      <c r="G58" s="69"/>
      <c r="H58" s="69"/>
      <c r="I58" s="69"/>
      <c r="J58" s="69"/>
      <c r="K58" s="69"/>
    </row>
    <row r="59" spans="2:11" x14ac:dyDescent="0.3">
      <c r="B59" s="68"/>
      <c r="C59" s="69"/>
      <c r="D59" s="69"/>
      <c r="E59" s="69"/>
      <c r="F59" s="69"/>
      <c r="G59" s="69"/>
      <c r="H59" s="69"/>
      <c r="I59" s="69"/>
      <c r="J59" s="69"/>
      <c r="K59" s="69"/>
    </row>
    <row r="60" spans="2:11" x14ac:dyDescent="0.3">
      <c r="B60" s="68"/>
      <c r="C60" s="69"/>
      <c r="D60" s="69"/>
      <c r="E60" s="69"/>
      <c r="F60" s="69"/>
      <c r="G60" s="69"/>
      <c r="H60" s="69"/>
      <c r="I60" s="69"/>
      <c r="J60" s="69"/>
      <c r="K60" s="69"/>
    </row>
    <row r="61" spans="2:11" x14ac:dyDescent="0.3">
      <c r="B61" s="68"/>
      <c r="C61" s="69"/>
      <c r="D61" s="69"/>
      <c r="E61" s="69"/>
      <c r="F61" s="69"/>
      <c r="G61" s="69"/>
      <c r="H61" s="69"/>
      <c r="I61" s="69"/>
      <c r="J61" s="69"/>
      <c r="K61" s="69"/>
    </row>
    <row r="62" spans="2:11" x14ac:dyDescent="0.3">
      <c r="B62" s="68"/>
      <c r="C62" s="69"/>
      <c r="D62" s="69"/>
      <c r="E62" s="69"/>
      <c r="F62" s="69"/>
      <c r="G62" s="69"/>
      <c r="H62" s="69"/>
      <c r="I62" s="69"/>
      <c r="J62" s="69"/>
      <c r="K62" s="69"/>
    </row>
    <row r="63" spans="2:11" x14ac:dyDescent="0.3">
      <c r="B63" s="68"/>
      <c r="C63" s="69"/>
      <c r="D63" s="69"/>
      <c r="E63" s="69"/>
      <c r="F63" s="69"/>
      <c r="G63" s="69"/>
      <c r="H63" s="69"/>
      <c r="I63" s="69"/>
      <c r="J63" s="69"/>
      <c r="K63" s="69"/>
    </row>
    <row r="64" spans="2:11" x14ac:dyDescent="0.3">
      <c r="B64" s="68"/>
      <c r="C64" s="69"/>
      <c r="D64" s="69"/>
      <c r="E64" s="69"/>
      <c r="F64" s="69"/>
      <c r="G64" s="69"/>
      <c r="H64" s="69"/>
      <c r="I64" s="69"/>
      <c r="J64" s="69"/>
      <c r="K64" s="69"/>
    </row>
    <row r="65" spans="2:11" x14ac:dyDescent="0.3">
      <c r="B65" s="68"/>
      <c r="C65" s="69"/>
      <c r="D65" s="69"/>
      <c r="E65" s="69"/>
      <c r="F65" s="69"/>
      <c r="G65" s="69"/>
      <c r="H65" s="69"/>
      <c r="I65" s="69"/>
      <c r="J65" s="69"/>
      <c r="K65" s="69"/>
    </row>
    <row r="66" spans="2:11" x14ac:dyDescent="0.3">
      <c r="B66" s="68"/>
      <c r="C66" s="69"/>
      <c r="D66" s="69"/>
      <c r="E66" s="69"/>
      <c r="F66" s="69"/>
      <c r="G66" s="69"/>
      <c r="H66" s="69"/>
      <c r="I66" s="69"/>
      <c r="J66" s="69"/>
      <c r="K66" s="69"/>
    </row>
    <row r="67" spans="2:11" x14ac:dyDescent="0.3">
      <c r="B67" s="68"/>
      <c r="C67" s="69"/>
      <c r="D67" s="69"/>
      <c r="E67" s="69"/>
      <c r="F67" s="69"/>
      <c r="G67" s="69"/>
      <c r="H67" s="69"/>
      <c r="I67" s="69"/>
      <c r="J67" s="69"/>
      <c r="K67" s="69"/>
    </row>
    <row r="68" spans="2:11" x14ac:dyDescent="0.3">
      <c r="B68" s="68"/>
      <c r="C68" s="69"/>
      <c r="D68" s="69"/>
      <c r="E68" s="69"/>
      <c r="F68" s="69"/>
      <c r="G68" s="69"/>
      <c r="H68" s="69"/>
      <c r="I68" s="69"/>
      <c r="J68" s="69"/>
      <c r="K68" s="69"/>
    </row>
    <row r="69" spans="2:11" x14ac:dyDescent="0.3">
      <c r="B69" s="68"/>
      <c r="C69" s="69"/>
      <c r="D69" s="69"/>
      <c r="E69" s="69"/>
      <c r="F69" s="69"/>
      <c r="G69" s="69"/>
      <c r="H69" s="69"/>
      <c r="I69" s="69"/>
      <c r="J69" s="69"/>
      <c r="K69" s="69"/>
    </row>
    <row r="70" spans="2:11" x14ac:dyDescent="0.3">
      <c r="B70" s="68"/>
      <c r="C70" s="69"/>
      <c r="D70" s="69"/>
      <c r="E70" s="69"/>
      <c r="F70" s="69"/>
      <c r="G70" s="69"/>
      <c r="H70" s="69"/>
      <c r="I70" s="69"/>
      <c r="J70" s="69"/>
      <c r="K70" s="69"/>
    </row>
    <row r="71" spans="2:11" x14ac:dyDescent="0.3">
      <c r="B71" s="68"/>
      <c r="C71" s="69"/>
      <c r="D71" s="69"/>
      <c r="E71" s="69"/>
      <c r="F71" s="69"/>
      <c r="G71" s="69"/>
      <c r="H71" s="69"/>
      <c r="I71" s="69"/>
      <c r="J71" s="69"/>
      <c r="K71" s="69"/>
    </row>
    <row r="72" spans="2:11" x14ac:dyDescent="0.3">
      <c r="B72" s="68"/>
      <c r="C72" s="69"/>
      <c r="D72" s="69"/>
      <c r="E72" s="69"/>
      <c r="F72" s="69"/>
      <c r="G72" s="69"/>
      <c r="H72" s="69"/>
      <c r="I72" s="69"/>
      <c r="J72" s="69"/>
      <c r="K72" s="69"/>
    </row>
    <row r="73" spans="2:11" x14ac:dyDescent="0.3">
      <c r="B73" s="68"/>
      <c r="C73" s="69"/>
      <c r="D73" s="69"/>
      <c r="E73" s="69"/>
      <c r="F73" s="69"/>
      <c r="G73" s="69"/>
      <c r="H73" s="69"/>
      <c r="I73" s="69"/>
      <c r="J73" s="69"/>
      <c r="K73" s="69"/>
    </row>
    <row r="74" spans="2:11" x14ac:dyDescent="0.3">
      <c r="B74" s="68"/>
      <c r="C74" s="69"/>
      <c r="D74" s="69"/>
      <c r="E74" s="69"/>
      <c r="F74" s="69"/>
      <c r="G74" s="69"/>
      <c r="H74" s="69"/>
      <c r="I74" s="69"/>
      <c r="J74" s="69"/>
      <c r="K74" s="69"/>
    </row>
    <row r="75" spans="2:11" x14ac:dyDescent="0.3">
      <c r="B75" s="68"/>
      <c r="C75" s="69"/>
      <c r="D75" s="69"/>
      <c r="E75" s="69"/>
      <c r="F75" s="69"/>
      <c r="G75" s="69"/>
      <c r="H75" s="69"/>
      <c r="I75" s="69"/>
      <c r="J75" s="69"/>
      <c r="K75" s="69"/>
    </row>
    <row r="76" spans="2:11" x14ac:dyDescent="0.3">
      <c r="B76" s="68"/>
      <c r="C76" s="69"/>
      <c r="D76" s="69"/>
      <c r="E76" s="69"/>
      <c r="F76" s="69"/>
      <c r="G76" s="69"/>
      <c r="H76" s="69"/>
      <c r="I76" s="69"/>
      <c r="J76" s="69"/>
      <c r="K76" s="69"/>
    </row>
    <row r="77" spans="2:11" x14ac:dyDescent="0.3">
      <c r="B77" s="68"/>
      <c r="C77" s="69"/>
      <c r="D77" s="69"/>
      <c r="E77" s="69"/>
      <c r="F77" s="69"/>
      <c r="G77" s="69"/>
      <c r="H77" s="69"/>
      <c r="I77" s="69"/>
      <c r="J77" s="69"/>
      <c r="K77" s="69"/>
    </row>
    <row r="78" spans="2:11" x14ac:dyDescent="0.3">
      <c r="B78" s="68"/>
      <c r="C78" s="69"/>
      <c r="D78" s="69"/>
      <c r="E78" s="69"/>
      <c r="F78" s="69"/>
      <c r="G78" s="69"/>
      <c r="H78" s="69"/>
      <c r="I78" s="69"/>
      <c r="J78" s="69"/>
      <c r="K78" s="69"/>
    </row>
    <row r="79" spans="2:11" x14ac:dyDescent="0.3">
      <c r="B79" s="68"/>
      <c r="C79" s="69"/>
      <c r="D79" s="69"/>
      <c r="E79" s="69"/>
      <c r="F79" s="69"/>
      <c r="G79" s="69"/>
      <c r="H79" s="69"/>
      <c r="I79" s="69"/>
      <c r="J79" s="69"/>
      <c r="K79" s="69"/>
    </row>
    <row r="80" spans="2:11" x14ac:dyDescent="0.3">
      <c r="B80" s="68"/>
      <c r="C80" s="69"/>
      <c r="D80" s="69"/>
      <c r="E80" s="69"/>
      <c r="F80" s="69"/>
      <c r="G80" s="69"/>
      <c r="H80" s="69"/>
      <c r="I80" s="69"/>
      <c r="J80" s="69"/>
      <c r="K80" s="69"/>
    </row>
    <row r="81" spans="2:11" x14ac:dyDescent="0.3">
      <c r="B81" s="68"/>
      <c r="C81" s="69"/>
      <c r="D81" s="69"/>
      <c r="E81" s="69"/>
      <c r="F81" s="69"/>
      <c r="G81" s="69"/>
      <c r="H81" s="69"/>
      <c r="I81" s="69"/>
      <c r="J81" s="69"/>
      <c r="K81" s="69"/>
    </row>
    <row r="82" spans="2:11" x14ac:dyDescent="0.3">
      <c r="B82" s="68"/>
      <c r="C82" s="69"/>
      <c r="D82" s="69"/>
      <c r="E82" s="69"/>
      <c r="F82" s="69"/>
      <c r="G82" s="69"/>
      <c r="H82" s="69"/>
      <c r="I82" s="69"/>
      <c r="J82" s="69"/>
      <c r="K82" s="69"/>
    </row>
    <row r="83" spans="2:11" x14ac:dyDescent="0.3">
      <c r="B83" s="68"/>
      <c r="C83" s="69"/>
      <c r="D83" s="69"/>
      <c r="E83" s="69"/>
      <c r="F83" s="69"/>
      <c r="G83" s="69"/>
      <c r="H83" s="69"/>
      <c r="I83" s="69"/>
      <c r="J83" s="69"/>
      <c r="K83" s="69"/>
    </row>
    <row r="84" spans="2:11" x14ac:dyDescent="0.3">
      <c r="B84" s="68"/>
      <c r="C84" s="69"/>
      <c r="D84" s="69"/>
      <c r="E84" s="69"/>
      <c r="F84" s="69"/>
      <c r="G84" s="69"/>
      <c r="H84" s="69"/>
      <c r="I84" s="69"/>
      <c r="J84" s="69"/>
      <c r="K84" s="69"/>
    </row>
    <row r="85" spans="2:11" x14ac:dyDescent="0.3">
      <c r="B85" s="68"/>
      <c r="C85" s="69"/>
      <c r="D85" s="69"/>
      <c r="E85" s="69"/>
      <c r="F85" s="69"/>
      <c r="G85" s="69"/>
      <c r="H85" s="69"/>
      <c r="I85" s="69"/>
      <c r="J85" s="69"/>
      <c r="K85" s="69"/>
    </row>
    <row r="86" spans="2:11" x14ac:dyDescent="0.3">
      <c r="B86" s="68"/>
      <c r="C86" s="69"/>
      <c r="D86" s="69"/>
      <c r="E86" s="69"/>
      <c r="F86" s="69"/>
      <c r="G86" s="69"/>
      <c r="H86" s="69"/>
      <c r="I86" s="69"/>
      <c r="J86" s="69"/>
      <c r="K86" s="69"/>
    </row>
    <row r="87" spans="2:11" x14ac:dyDescent="0.3">
      <c r="B87" s="68"/>
      <c r="C87" s="69"/>
      <c r="D87" s="69"/>
      <c r="E87" s="69"/>
      <c r="F87" s="69"/>
      <c r="G87" s="69"/>
      <c r="H87" s="69"/>
      <c r="I87" s="69"/>
      <c r="J87" s="69"/>
      <c r="K87" s="69"/>
    </row>
    <row r="88" spans="2:11" x14ac:dyDescent="0.3">
      <c r="B88" s="68"/>
      <c r="C88" s="69"/>
      <c r="D88" s="69"/>
      <c r="E88" s="69"/>
      <c r="F88" s="69"/>
      <c r="G88" s="69"/>
      <c r="H88" s="69"/>
      <c r="I88" s="69"/>
      <c r="J88" s="69"/>
      <c r="K88" s="69"/>
    </row>
    <row r="89" spans="2:11" x14ac:dyDescent="0.3">
      <c r="B89" s="68"/>
      <c r="C89" s="69"/>
      <c r="D89" s="69"/>
      <c r="E89" s="69"/>
      <c r="F89" s="69"/>
      <c r="G89" s="69"/>
      <c r="H89" s="69"/>
      <c r="I89" s="69"/>
      <c r="J89" s="69"/>
      <c r="K89" s="69"/>
    </row>
    <row r="90" spans="2:11" x14ac:dyDescent="0.3">
      <c r="B90" s="68"/>
      <c r="C90" s="69"/>
      <c r="D90" s="69"/>
      <c r="E90" s="69"/>
      <c r="F90" s="69"/>
      <c r="G90" s="69"/>
      <c r="H90" s="69"/>
      <c r="I90" s="69"/>
      <c r="J90" s="69"/>
      <c r="K90" s="69"/>
    </row>
    <row r="91" spans="2:11" x14ac:dyDescent="0.3">
      <c r="B91" s="68"/>
      <c r="C91" s="69"/>
      <c r="D91" s="69"/>
      <c r="E91" s="69"/>
      <c r="F91" s="69"/>
      <c r="G91" s="69"/>
      <c r="H91" s="69"/>
      <c r="I91" s="69"/>
      <c r="J91" s="69"/>
      <c r="K91" s="69"/>
    </row>
    <row r="92" spans="2:11" x14ac:dyDescent="0.3">
      <c r="B92" s="68"/>
      <c r="C92" s="69"/>
      <c r="D92" s="69"/>
      <c r="E92" s="69"/>
      <c r="F92" s="69"/>
      <c r="G92" s="69"/>
      <c r="H92" s="69"/>
      <c r="I92" s="69"/>
      <c r="J92" s="69"/>
      <c r="K92" s="69"/>
    </row>
    <row r="93" spans="2:11" x14ac:dyDescent="0.3">
      <c r="B93" s="68"/>
      <c r="C93" s="69"/>
      <c r="D93" s="69"/>
      <c r="E93" s="69"/>
      <c r="F93" s="69"/>
      <c r="G93" s="69"/>
      <c r="H93" s="69"/>
      <c r="I93" s="69"/>
      <c r="J93" s="69"/>
      <c r="K93" s="69"/>
    </row>
    <row r="94" spans="2:11" x14ac:dyDescent="0.3">
      <c r="B94" s="68"/>
      <c r="C94" s="69"/>
      <c r="D94" s="69"/>
      <c r="E94" s="69"/>
      <c r="F94" s="69"/>
      <c r="G94" s="69"/>
      <c r="H94" s="69"/>
      <c r="I94" s="69"/>
      <c r="J94" s="69"/>
      <c r="K94" s="69"/>
    </row>
    <row r="95" spans="2:11" x14ac:dyDescent="0.3">
      <c r="B95" s="68"/>
      <c r="C95" s="69"/>
      <c r="D95" s="69"/>
      <c r="E95" s="69"/>
      <c r="F95" s="69"/>
      <c r="G95" s="69"/>
      <c r="H95" s="69"/>
      <c r="I95" s="69"/>
      <c r="J95" s="69"/>
      <c r="K95" s="69"/>
    </row>
    <row r="96" spans="2:11" x14ac:dyDescent="0.3">
      <c r="B96" s="68"/>
      <c r="C96" s="69"/>
      <c r="D96" s="69"/>
      <c r="E96" s="69"/>
      <c r="F96" s="69"/>
      <c r="G96" s="69"/>
      <c r="H96" s="69"/>
      <c r="I96" s="69"/>
      <c r="J96" s="69"/>
      <c r="K96" s="69"/>
    </row>
    <row r="97" spans="2:11" x14ac:dyDescent="0.3">
      <c r="B97" s="68"/>
      <c r="C97" s="69"/>
      <c r="D97" s="69"/>
      <c r="E97" s="69"/>
      <c r="F97" s="69"/>
      <c r="G97" s="69"/>
      <c r="H97" s="69"/>
      <c r="I97" s="69"/>
      <c r="J97" s="69"/>
      <c r="K97" s="69"/>
    </row>
    <row r="98" spans="2:11" x14ac:dyDescent="0.3">
      <c r="B98" s="68"/>
      <c r="C98" s="69"/>
      <c r="D98" s="69"/>
      <c r="E98" s="69"/>
      <c r="F98" s="69"/>
      <c r="G98" s="69"/>
      <c r="H98" s="69"/>
      <c r="I98" s="69"/>
      <c r="J98" s="69"/>
      <c r="K98" s="69"/>
    </row>
    <row r="99" spans="2:11" x14ac:dyDescent="0.3">
      <c r="B99" s="68"/>
      <c r="C99" s="69"/>
      <c r="D99" s="69"/>
      <c r="E99" s="69"/>
      <c r="F99" s="69"/>
      <c r="G99" s="69"/>
      <c r="H99" s="69"/>
      <c r="I99" s="69"/>
      <c r="J99" s="69"/>
      <c r="K99" s="69"/>
    </row>
    <row r="100" spans="2:11" x14ac:dyDescent="0.3">
      <c r="B100" s="68"/>
      <c r="C100" s="69"/>
      <c r="D100" s="69"/>
      <c r="E100" s="69"/>
      <c r="F100" s="69"/>
      <c r="G100" s="69"/>
      <c r="H100" s="69"/>
      <c r="I100" s="69"/>
      <c r="J100" s="69"/>
      <c r="K100" s="69"/>
    </row>
    <row r="101" spans="2:11" x14ac:dyDescent="0.3">
      <c r="B101" s="68"/>
      <c r="C101" s="69"/>
      <c r="D101" s="69"/>
      <c r="E101" s="69"/>
      <c r="F101" s="69"/>
      <c r="G101" s="69"/>
      <c r="H101" s="69"/>
      <c r="I101" s="69"/>
      <c r="J101" s="69"/>
      <c r="K101" s="69"/>
    </row>
    <row r="102" spans="2:11" x14ac:dyDescent="0.3">
      <c r="B102" s="68"/>
      <c r="C102" s="69"/>
      <c r="D102" s="69"/>
      <c r="E102" s="69"/>
      <c r="F102" s="69"/>
      <c r="G102" s="69"/>
      <c r="H102" s="69"/>
      <c r="I102" s="69"/>
      <c r="J102" s="69"/>
      <c r="K102" s="69"/>
    </row>
    <row r="103" spans="2:11" x14ac:dyDescent="0.3">
      <c r="B103" s="68"/>
      <c r="C103" s="69"/>
      <c r="D103" s="69"/>
      <c r="E103" s="69"/>
      <c r="F103" s="69"/>
      <c r="G103" s="69"/>
      <c r="H103" s="69"/>
      <c r="I103" s="69"/>
      <c r="J103" s="69"/>
      <c r="K103" s="69"/>
    </row>
    <row r="104" spans="2:11" x14ac:dyDescent="0.3">
      <c r="B104" s="68"/>
      <c r="C104" s="69"/>
      <c r="D104" s="69"/>
      <c r="E104" s="69"/>
      <c r="F104" s="69"/>
      <c r="G104" s="69"/>
      <c r="H104" s="69"/>
      <c r="I104" s="69"/>
      <c r="J104" s="69"/>
      <c r="K104" s="69"/>
    </row>
    <row r="105" spans="2:11" x14ac:dyDescent="0.3">
      <c r="B105" s="68"/>
      <c r="C105" s="69"/>
      <c r="D105" s="69"/>
      <c r="E105" s="69"/>
      <c r="F105" s="69"/>
      <c r="G105" s="69"/>
      <c r="H105" s="69"/>
      <c r="I105" s="69"/>
      <c r="J105" s="69"/>
      <c r="K105" s="69"/>
    </row>
    <row r="106" spans="2:11" x14ac:dyDescent="0.3">
      <c r="B106" s="68"/>
      <c r="C106" s="69"/>
      <c r="D106" s="69"/>
      <c r="E106" s="69"/>
      <c r="F106" s="69"/>
      <c r="G106" s="69"/>
      <c r="H106" s="69"/>
      <c r="I106" s="69"/>
      <c r="J106" s="69"/>
      <c r="K106" s="69"/>
    </row>
    <row r="107" spans="2:11" x14ac:dyDescent="0.3">
      <c r="B107" s="68"/>
      <c r="C107" s="69"/>
      <c r="D107" s="69"/>
      <c r="E107" s="69"/>
      <c r="F107" s="69"/>
      <c r="G107" s="69"/>
      <c r="H107" s="69"/>
      <c r="I107" s="69"/>
      <c r="J107" s="69"/>
      <c r="K107" s="69"/>
    </row>
    <row r="108" spans="2:11" x14ac:dyDescent="0.3">
      <c r="B108" s="68"/>
      <c r="C108" s="69"/>
      <c r="D108" s="69"/>
      <c r="E108" s="69"/>
      <c r="F108" s="69"/>
      <c r="G108" s="69"/>
      <c r="H108" s="69"/>
      <c r="I108" s="69"/>
      <c r="J108" s="69"/>
      <c r="K108" s="69"/>
    </row>
    <row r="109" spans="2:11" x14ac:dyDescent="0.3">
      <c r="B109" s="68"/>
      <c r="C109" s="69"/>
      <c r="D109" s="69"/>
      <c r="E109" s="69"/>
      <c r="F109" s="69"/>
      <c r="G109" s="69"/>
      <c r="H109" s="69"/>
      <c r="I109" s="69"/>
      <c r="J109" s="69"/>
      <c r="K109" s="69"/>
    </row>
    <row r="110" spans="2:11" x14ac:dyDescent="0.3">
      <c r="B110" s="68"/>
      <c r="C110" s="69"/>
      <c r="D110" s="69"/>
      <c r="E110" s="69"/>
      <c r="F110" s="69"/>
      <c r="G110" s="69"/>
      <c r="H110" s="69"/>
      <c r="I110" s="69"/>
      <c r="J110" s="69"/>
      <c r="K110" s="69"/>
    </row>
    <row r="111" spans="2:11" x14ac:dyDescent="0.3">
      <c r="B111" s="68"/>
      <c r="C111" s="69"/>
      <c r="D111" s="69"/>
      <c r="E111" s="69"/>
      <c r="F111" s="69"/>
      <c r="G111" s="69"/>
      <c r="H111" s="69"/>
      <c r="I111" s="69"/>
      <c r="J111" s="69"/>
      <c r="K111" s="69"/>
    </row>
    <row r="112" spans="2:11" x14ac:dyDescent="0.3">
      <c r="B112" s="68"/>
      <c r="C112" s="69"/>
      <c r="D112" s="69"/>
      <c r="E112" s="69"/>
      <c r="F112" s="69"/>
      <c r="G112" s="69"/>
      <c r="H112" s="69"/>
      <c r="I112" s="69"/>
      <c r="J112" s="69"/>
      <c r="K112" s="69"/>
    </row>
    <row r="113" spans="2:11" x14ac:dyDescent="0.3">
      <c r="B113" s="68"/>
      <c r="C113" s="69"/>
      <c r="D113" s="69"/>
      <c r="E113" s="69"/>
      <c r="F113" s="69"/>
      <c r="G113" s="69"/>
      <c r="H113" s="69"/>
      <c r="I113" s="69"/>
      <c r="J113" s="69"/>
      <c r="K113" s="69"/>
    </row>
    <row r="114" spans="2:11" x14ac:dyDescent="0.3">
      <c r="B114" s="68"/>
      <c r="C114" s="69"/>
      <c r="D114" s="69"/>
      <c r="E114" s="69"/>
      <c r="F114" s="69"/>
      <c r="G114" s="69"/>
      <c r="H114" s="69"/>
      <c r="I114" s="69"/>
      <c r="J114" s="69"/>
      <c r="K114" s="69"/>
    </row>
    <row r="115" spans="2:11" x14ac:dyDescent="0.3">
      <c r="B115" s="68"/>
      <c r="C115" s="69"/>
      <c r="D115" s="69"/>
      <c r="E115" s="69"/>
      <c r="F115" s="69"/>
      <c r="G115" s="69"/>
      <c r="H115" s="69"/>
      <c r="I115" s="69"/>
      <c r="J115" s="69"/>
      <c r="K115" s="69"/>
    </row>
    <row r="116" spans="2:11" x14ac:dyDescent="0.3">
      <c r="B116" s="68"/>
      <c r="C116" s="69"/>
      <c r="D116" s="69"/>
      <c r="E116" s="69"/>
      <c r="F116" s="69"/>
      <c r="G116" s="69"/>
      <c r="H116" s="69"/>
      <c r="I116" s="69"/>
      <c r="J116" s="69"/>
      <c r="K116" s="69"/>
    </row>
    <row r="117" spans="2:11" x14ac:dyDescent="0.3">
      <c r="B117" s="68"/>
      <c r="C117" s="69"/>
      <c r="D117" s="69"/>
      <c r="E117" s="69"/>
      <c r="F117" s="69"/>
      <c r="G117" s="69"/>
      <c r="H117" s="69"/>
      <c r="I117" s="69"/>
      <c r="J117" s="69"/>
      <c r="K117" s="69"/>
    </row>
    <row r="118" spans="2:11" x14ac:dyDescent="0.3">
      <c r="B118" s="68"/>
      <c r="C118" s="69"/>
      <c r="D118" s="69"/>
      <c r="E118" s="69"/>
      <c r="F118" s="69"/>
      <c r="G118" s="69"/>
      <c r="H118" s="69"/>
      <c r="I118" s="69"/>
      <c r="J118" s="69"/>
      <c r="K118" s="69"/>
    </row>
    <row r="119" spans="2:11" x14ac:dyDescent="0.3">
      <c r="B119" s="68"/>
      <c r="C119" s="69"/>
      <c r="D119" s="69"/>
      <c r="E119" s="69"/>
      <c r="F119" s="69"/>
      <c r="G119" s="69"/>
      <c r="H119" s="69"/>
      <c r="I119" s="69"/>
      <c r="J119" s="69"/>
      <c r="K119" s="69"/>
    </row>
    <row r="120" spans="2:11" x14ac:dyDescent="0.3">
      <c r="B120" s="68"/>
      <c r="C120" s="69"/>
      <c r="D120" s="69"/>
      <c r="E120" s="69"/>
      <c r="F120" s="69"/>
      <c r="G120" s="69"/>
      <c r="H120" s="69"/>
      <c r="I120" s="69"/>
      <c r="J120" s="69"/>
      <c r="K120" s="69"/>
    </row>
    <row r="121" spans="2:11" x14ac:dyDescent="0.3">
      <c r="B121" s="68"/>
      <c r="C121" s="69"/>
      <c r="D121" s="69"/>
      <c r="E121" s="69"/>
      <c r="F121" s="69"/>
      <c r="G121" s="69"/>
      <c r="H121" s="69"/>
      <c r="I121" s="69"/>
      <c r="J121" s="69"/>
      <c r="K121" s="69"/>
    </row>
    <row r="122" spans="2:11" x14ac:dyDescent="0.3">
      <c r="B122" s="68"/>
      <c r="C122" s="69"/>
      <c r="D122" s="69"/>
      <c r="E122" s="69"/>
      <c r="F122" s="69"/>
      <c r="G122" s="69"/>
      <c r="H122" s="69"/>
      <c r="I122" s="69"/>
      <c r="J122" s="69"/>
      <c r="K122" s="69"/>
    </row>
    <row r="123" spans="2:11" x14ac:dyDescent="0.3">
      <c r="B123" s="68"/>
      <c r="C123" s="69"/>
      <c r="D123" s="69"/>
      <c r="E123" s="69"/>
      <c r="F123" s="69"/>
      <c r="G123" s="69"/>
      <c r="H123" s="69"/>
      <c r="I123" s="69"/>
      <c r="J123" s="69"/>
      <c r="K123" s="69"/>
    </row>
    <row r="124" spans="2:11" x14ac:dyDescent="0.3">
      <c r="B124" s="68"/>
      <c r="C124" s="69"/>
      <c r="D124" s="69"/>
      <c r="E124" s="69"/>
      <c r="F124" s="69"/>
      <c r="G124" s="69"/>
      <c r="H124" s="69"/>
      <c r="I124" s="69"/>
      <c r="J124" s="69"/>
      <c r="K124" s="69"/>
    </row>
    <row r="125" spans="2:11" x14ac:dyDescent="0.3">
      <c r="B125" s="68"/>
      <c r="C125" s="69"/>
      <c r="D125" s="69"/>
      <c r="E125" s="69"/>
      <c r="F125" s="69"/>
      <c r="G125" s="69"/>
      <c r="H125" s="69"/>
      <c r="I125" s="69"/>
      <c r="J125" s="69"/>
      <c r="K125" s="69"/>
    </row>
    <row r="126" spans="2:11" x14ac:dyDescent="0.3">
      <c r="B126" s="68"/>
      <c r="C126" s="69"/>
      <c r="D126" s="69"/>
      <c r="E126" s="69"/>
      <c r="F126" s="69"/>
      <c r="G126" s="69"/>
      <c r="H126" s="69"/>
      <c r="I126" s="69"/>
      <c r="J126" s="69"/>
      <c r="K126" s="69"/>
    </row>
    <row r="127" spans="2:11" x14ac:dyDescent="0.3">
      <c r="B127" s="68"/>
      <c r="C127" s="69"/>
      <c r="D127" s="69"/>
      <c r="E127" s="69"/>
      <c r="F127" s="69"/>
      <c r="G127" s="69"/>
      <c r="H127" s="69"/>
      <c r="I127" s="69"/>
      <c r="J127" s="69"/>
      <c r="K127" s="69"/>
    </row>
    <row r="128" spans="2:11" x14ac:dyDescent="0.3">
      <c r="B128" s="68"/>
      <c r="C128" s="69"/>
      <c r="D128" s="69"/>
      <c r="E128" s="69"/>
      <c r="F128" s="69"/>
      <c r="G128" s="69"/>
      <c r="H128" s="69"/>
      <c r="I128" s="69"/>
      <c r="J128" s="69"/>
      <c r="K128" s="69"/>
    </row>
    <row r="129" spans="2:11" x14ac:dyDescent="0.3">
      <c r="B129" s="68"/>
      <c r="C129" s="69"/>
      <c r="D129" s="69"/>
      <c r="E129" s="69"/>
      <c r="F129" s="69"/>
      <c r="G129" s="69"/>
      <c r="H129" s="69"/>
      <c r="I129" s="69"/>
      <c r="J129" s="69"/>
      <c r="K129" s="69"/>
    </row>
    <row r="130" spans="2:11" x14ac:dyDescent="0.3">
      <c r="B130" s="68"/>
      <c r="C130" s="69"/>
      <c r="D130" s="69"/>
      <c r="E130" s="69"/>
      <c r="F130" s="69"/>
      <c r="G130" s="69"/>
      <c r="H130" s="69"/>
      <c r="I130" s="69"/>
      <c r="J130" s="69"/>
      <c r="K130" s="69"/>
    </row>
    <row r="131" spans="2:11" x14ac:dyDescent="0.3">
      <c r="B131" s="68"/>
      <c r="C131" s="69"/>
      <c r="D131" s="69"/>
      <c r="E131" s="69"/>
      <c r="F131" s="69"/>
      <c r="G131" s="69"/>
      <c r="H131" s="69"/>
      <c r="I131" s="69"/>
      <c r="J131" s="69"/>
      <c r="K131" s="69"/>
    </row>
    <row r="132" spans="2:11" x14ac:dyDescent="0.3">
      <c r="B132" s="68"/>
      <c r="C132" s="69"/>
      <c r="D132" s="69"/>
      <c r="E132" s="69"/>
      <c r="F132" s="69"/>
      <c r="G132" s="69"/>
      <c r="H132" s="69"/>
      <c r="I132" s="69"/>
      <c r="J132" s="69"/>
      <c r="K132" s="69"/>
    </row>
    <row r="133" spans="2:11" x14ac:dyDescent="0.3">
      <c r="B133" s="68"/>
      <c r="C133" s="69"/>
      <c r="D133" s="69"/>
      <c r="E133" s="69"/>
      <c r="F133" s="69"/>
      <c r="G133" s="69"/>
      <c r="H133" s="69"/>
      <c r="I133" s="69"/>
      <c r="J133" s="69"/>
      <c r="K133" s="69"/>
    </row>
    <row r="134" spans="2:11" x14ac:dyDescent="0.3">
      <c r="B134" s="68"/>
      <c r="C134" s="69"/>
      <c r="D134" s="69"/>
      <c r="E134" s="69"/>
      <c r="F134" s="69"/>
      <c r="G134" s="69"/>
      <c r="H134" s="69"/>
      <c r="I134" s="69"/>
      <c r="J134" s="69"/>
      <c r="K134" s="69"/>
    </row>
    <row r="135" spans="2:11" x14ac:dyDescent="0.3">
      <c r="B135" s="68"/>
      <c r="C135" s="69"/>
      <c r="D135" s="69"/>
      <c r="E135" s="69"/>
      <c r="F135" s="69"/>
      <c r="G135" s="69"/>
      <c r="H135" s="69"/>
      <c r="I135" s="69"/>
      <c r="J135" s="69"/>
      <c r="K135" s="69"/>
    </row>
    <row r="136" spans="2:11" x14ac:dyDescent="0.3">
      <c r="B136" s="68"/>
      <c r="C136" s="69"/>
      <c r="D136" s="69"/>
      <c r="E136" s="69"/>
      <c r="F136" s="69"/>
      <c r="G136" s="69"/>
      <c r="H136" s="69"/>
      <c r="I136" s="69"/>
      <c r="J136" s="69"/>
      <c r="K136" s="69"/>
    </row>
    <row r="137" spans="2:11" x14ac:dyDescent="0.3">
      <c r="B137" s="68"/>
      <c r="C137" s="69"/>
      <c r="D137" s="69"/>
      <c r="E137" s="69"/>
      <c r="F137" s="69"/>
      <c r="G137" s="69"/>
      <c r="H137" s="69"/>
      <c r="I137" s="69"/>
      <c r="J137" s="69"/>
      <c r="K137" s="69"/>
    </row>
    <row r="138" spans="2:11" x14ac:dyDescent="0.3">
      <c r="B138" s="68"/>
      <c r="C138" s="69"/>
      <c r="D138" s="69"/>
      <c r="E138" s="69"/>
      <c r="F138" s="69"/>
      <c r="G138" s="69"/>
      <c r="H138" s="69"/>
      <c r="I138" s="69"/>
      <c r="J138" s="69"/>
      <c r="K138" s="69"/>
    </row>
    <row r="139" spans="2:11" x14ac:dyDescent="0.3">
      <c r="B139" s="68"/>
      <c r="C139" s="69"/>
      <c r="D139" s="69"/>
      <c r="E139" s="69"/>
      <c r="F139" s="69"/>
      <c r="G139" s="69"/>
      <c r="H139" s="69"/>
      <c r="I139" s="69"/>
      <c r="J139" s="69"/>
      <c r="K139" s="69"/>
    </row>
    <row r="140" spans="2:11" x14ac:dyDescent="0.3">
      <c r="B140" s="68"/>
      <c r="C140" s="69"/>
      <c r="D140" s="69"/>
      <c r="E140" s="69"/>
      <c r="F140" s="69"/>
      <c r="G140" s="69"/>
      <c r="H140" s="69"/>
      <c r="I140" s="69"/>
      <c r="J140" s="69"/>
      <c r="K140" s="69"/>
    </row>
    <row r="141" spans="2:11" x14ac:dyDescent="0.3">
      <c r="B141" s="68"/>
      <c r="C141" s="69"/>
      <c r="D141" s="69"/>
      <c r="E141" s="69"/>
      <c r="F141" s="69"/>
      <c r="G141" s="69"/>
      <c r="H141" s="69"/>
      <c r="I141" s="69"/>
      <c r="J141" s="69"/>
      <c r="K141" s="69"/>
    </row>
    <row r="142" spans="2:11" x14ac:dyDescent="0.3">
      <c r="B142" s="68"/>
      <c r="C142" s="69"/>
      <c r="D142" s="69"/>
      <c r="E142" s="69"/>
      <c r="F142" s="69"/>
      <c r="G142" s="69"/>
      <c r="H142" s="69"/>
      <c r="I142" s="69"/>
      <c r="J142" s="69"/>
      <c r="K142" s="69"/>
    </row>
    <row r="143" spans="2:11" x14ac:dyDescent="0.3">
      <c r="B143" s="68"/>
      <c r="C143" s="69"/>
      <c r="D143" s="69"/>
      <c r="E143" s="69"/>
      <c r="F143" s="69"/>
      <c r="G143" s="69"/>
      <c r="H143" s="69"/>
      <c r="I143" s="69"/>
      <c r="J143" s="69"/>
      <c r="K143" s="69"/>
    </row>
    <row r="144" spans="2:11" x14ac:dyDescent="0.3">
      <c r="B144" s="68"/>
      <c r="C144" s="69"/>
      <c r="D144" s="69"/>
      <c r="E144" s="69"/>
      <c r="F144" s="69"/>
      <c r="G144" s="69"/>
      <c r="H144" s="69"/>
      <c r="I144" s="69"/>
      <c r="J144" s="69"/>
      <c r="K144" s="69"/>
    </row>
    <row r="145" spans="2:11" x14ac:dyDescent="0.3">
      <c r="B145" s="68"/>
      <c r="C145" s="69"/>
      <c r="D145" s="69"/>
      <c r="E145" s="69"/>
      <c r="F145" s="69"/>
      <c r="G145" s="69"/>
      <c r="H145" s="69"/>
      <c r="I145" s="69"/>
      <c r="J145" s="69"/>
      <c r="K145" s="69"/>
    </row>
    <row r="146" spans="2:11" x14ac:dyDescent="0.3">
      <c r="B146" s="68"/>
      <c r="C146" s="69"/>
      <c r="D146" s="69"/>
      <c r="E146" s="69"/>
      <c r="F146" s="69"/>
      <c r="G146" s="69"/>
      <c r="H146" s="69"/>
      <c r="I146" s="69"/>
      <c r="J146" s="69"/>
      <c r="K146" s="69"/>
    </row>
    <row r="147" spans="2:11" x14ac:dyDescent="0.3">
      <c r="B147" s="68"/>
      <c r="C147" s="69"/>
      <c r="D147" s="69"/>
      <c r="E147" s="69"/>
      <c r="F147" s="69"/>
      <c r="G147" s="69"/>
      <c r="H147" s="69"/>
      <c r="I147" s="69"/>
      <c r="J147" s="69"/>
      <c r="K147" s="69"/>
    </row>
    <row r="148" spans="2:11" x14ac:dyDescent="0.3">
      <c r="B148" s="68"/>
      <c r="C148" s="69"/>
      <c r="D148" s="69"/>
      <c r="E148" s="69"/>
      <c r="F148" s="69"/>
      <c r="G148" s="69"/>
      <c r="H148" s="69"/>
      <c r="I148" s="69"/>
      <c r="J148" s="69"/>
      <c r="K148" s="69"/>
    </row>
    <row r="149" spans="2:11" x14ac:dyDescent="0.3">
      <c r="B149" s="68"/>
      <c r="C149" s="69"/>
      <c r="D149" s="69"/>
      <c r="E149" s="69"/>
      <c r="F149" s="69"/>
      <c r="G149" s="69"/>
      <c r="H149" s="69"/>
      <c r="I149" s="69"/>
      <c r="J149" s="69"/>
      <c r="K149" s="69"/>
    </row>
    <row r="150" spans="2:11" x14ac:dyDescent="0.3">
      <c r="B150" s="68"/>
      <c r="C150" s="69"/>
      <c r="D150" s="69"/>
      <c r="E150" s="69"/>
      <c r="F150" s="69"/>
      <c r="G150" s="69"/>
      <c r="H150" s="69"/>
      <c r="I150" s="69"/>
      <c r="J150" s="69"/>
      <c r="K150" s="69"/>
    </row>
    <row r="151" spans="2:11" x14ac:dyDescent="0.3">
      <c r="B151" s="68"/>
      <c r="C151" s="69"/>
      <c r="D151" s="69"/>
      <c r="E151" s="69"/>
      <c r="F151" s="69"/>
      <c r="G151" s="69"/>
      <c r="H151" s="69"/>
      <c r="I151" s="69"/>
      <c r="J151" s="69"/>
      <c r="K151" s="69"/>
    </row>
    <row r="152" spans="2:11" x14ac:dyDescent="0.3">
      <c r="B152" s="68"/>
      <c r="C152" s="69"/>
      <c r="D152" s="69"/>
      <c r="E152" s="69"/>
      <c r="F152" s="69"/>
      <c r="G152" s="69"/>
      <c r="H152" s="69"/>
      <c r="I152" s="69"/>
      <c r="J152" s="69"/>
      <c r="K152" s="69"/>
    </row>
    <row r="153" spans="2:11" x14ac:dyDescent="0.3">
      <c r="B153" s="68"/>
      <c r="C153" s="69"/>
      <c r="D153" s="69"/>
      <c r="E153" s="69"/>
      <c r="F153" s="69"/>
      <c r="G153" s="69"/>
      <c r="H153" s="69"/>
      <c r="I153" s="69"/>
      <c r="J153" s="69"/>
      <c r="K153" s="69"/>
    </row>
    <row r="154" spans="2:11" x14ac:dyDescent="0.3">
      <c r="B154" s="68"/>
      <c r="C154" s="69"/>
      <c r="D154" s="69"/>
      <c r="E154" s="69"/>
      <c r="F154" s="69"/>
      <c r="G154" s="69"/>
      <c r="H154" s="69"/>
      <c r="I154" s="69"/>
      <c r="J154" s="69"/>
      <c r="K154" s="69"/>
    </row>
    <row r="155" spans="2:11" x14ac:dyDescent="0.3">
      <c r="B155" s="68"/>
      <c r="C155" s="69"/>
      <c r="D155" s="69"/>
      <c r="E155" s="69"/>
      <c r="F155" s="69"/>
      <c r="G155" s="69"/>
      <c r="H155" s="69"/>
      <c r="I155" s="69"/>
      <c r="J155" s="69"/>
      <c r="K155" s="69"/>
    </row>
    <row r="156" spans="2:11" x14ac:dyDescent="0.3">
      <c r="B156" s="68"/>
      <c r="C156" s="69"/>
      <c r="D156" s="69"/>
      <c r="E156" s="69"/>
      <c r="F156" s="69"/>
      <c r="G156" s="69"/>
      <c r="H156" s="69"/>
      <c r="I156" s="69"/>
      <c r="J156" s="69"/>
      <c r="K156" s="69"/>
    </row>
    <row r="157" spans="2:11" x14ac:dyDescent="0.3">
      <c r="B157" s="68"/>
      <c r="C157" s="69"/>
      <c r="D157" s="69"/>
      <c r="E157" s="69"/>
      <c r="F157" s="69"/>
      <c r="G157" s="69"/>
      <c r="H157" s="69"/>
      <c r="I157" s="69"/>
      <c r="J157" s="69"/>
      <c r="K157" s="69"/>
    </row>
    <row r="158" spans="2:11" x14ac:dyDescent="0.3">
      <c r="B158" s="68"/>
      <c r="C158" s="69"/>
      <c r="D158" s="69"/>
      <c r="E158" s="69"/>
      <c r="F158" s="69"/>
      <c r="G158" s="69"/>
      <c r="H158" s="69"/>
      <c r="I158" s="69"/>
      <c r="J158" s="69"/>
      <c r="K158" s="69"/>
    </row>
    <row r="159" spans="2:11" x14ac:dyDescent="0.3">
      <c r="B159" s="68"/>
      <c r="C159" s="69"/>
      <c r="D159" s="69"/>
      <c r="E159" s="69"/>
      <c r="F159" s="69"/>
      <c r="G159" s="69"/>
      <c r="H159" s="69"/>
      <c r="I159" s="69"/>
      <c r="J159" s="69"/>
      <c r="K159" s="69"/>
    </row>
    <row r="160" spans="2:11" x14ac:dyDescent="0.3">
      <c r="B160" s="68"/>
      <c r="C160" s="69"/>
      <c r="D160" s="69"/>
      <c r="E160" s="69"/>
      <c r="F160" s="69"/>
      <c r="G160" s="69"/>
      <c r="H160" s="69"/>
      <c r="I160" s="69"/>
      <c r="J160" s="69"/>
      <c r="K160" s="69"/>
    </row>
    <row r="161" spans="2:11" x14ac:dyDescent="0.3">
      <c r="B161" s="68"/>
      <c r="C161" s="69"/>
      <c r="D161" s="69"/>
      <c r="E161" s="69"/>
      <c r="F161" s="69"/>
      <c r="G161" s="69"/>
      <c r="H161" s="69"/>
      <c r="I161" s="69"/>
      <c r="J161" s="69"/>
      <c r="K161" s="69"/>
    </row>
    <row r="162" spans="2:11" x14ac:dyDescent="0.3">
      <c r="B162" s="68"/>
      <c r="C162" s="69"/>
      <c r="D162" s="69"/>
      <c r="E162" s="69"/>
      <c r="F162" s="69"/>
      <c r="G162" s="69"/>
      <c r="H162" s="69"/>
      <c r="I162" s="69"/>
      <c r="J162" s="69"/>
      <c r="K162" s="69"/>
    </row>
    <row r="163" spans="2:11" x14ac:dyDescent="0.3">
      <c r="B163" s="68"/>
      <c r="C163" s="69"/>
      <c r="D163" s="69"/>
      <c r="E163" s="69"/>
      <c r="F163" s="69"/>
      <c r="G163" s="69"/>
      <c r="H163" s="69"/>
      <c r="I163" s="69"/>
      <c r="J163" s="69"/>
      <c r="K163" s="69"/>
    </row>
    <row r="164" spans="2:11" x14ac:dyDescent="0.3">
      <c r="B164" s="68"/>
      <c r="C164" s="69"/>
      <c r="D164" s="69"/>
      <c r="E164" s="69"/>
      <c r="F164" s="69"/>
      <c r="G164" s="69"/>
      <c r="H164" s="69"/>
      <c r="I164" s="69"/>
      <c r="J164" s="69"/>
      <c r="K164" s="69"/>
    </row>
    <row r="165" spans="2:11" x14ac:dyDescent="0.3">
      <c r="B165" s="68"/>
      <c r="C165" s="69"/>
      <c r="D165" s="69"/>
      <c r="E165" s="69"/>
      <c r="F165" s="69"/>
      <c r="G165" s="69"/>
      <c r="H165" s="69"/>
      <c r="I165" s="69"/>
      <c r="J165" s="69"/>
      <c r="K165" s="69"/>
    </row>
    <row r="166" spans="2:11" x14ac:dyDescent="0.3">
      <c r="B166" s="68"/>
      <c r="C166" s="69"/>
      <c r="D166" s="69"/>
      <c r="E166" s="69"/>
      <c r="F166" s="69"/>
      <c r="G166" s="69"/>
      <c r="H166" s="69"/>
      <c r="I166" s="69"/>
      <c r="J166" s="69"/>
      <c r="K166" s="69"/>
    </row>
    <row r="167" spans="2:11" x14ac:dyDescent="0.3">
      <c r="B167" s="68"/>
      <c r="C167" s="69"/>
      <c r="D167" s="69"/>
      <c r="E167" s="69"/>
      <c r="F167" s="69"/>
      <c r="G167" s="69"/>
      <c r="H167" s="69"/>
      <c r="I167" s="69"/>
      <c r="J167" s="69"/>
      <c r="K167" s="69"/>
    </row>
    <row r="168" spans="2:11" x14ac:dyDescent="0.3">
      <c r="B168" s="68"/>
      <c r="C168" s="69"/>
      <c r="D168" s="69"/>
      <c r="E168" s="69"/>
      <c r="F168" s="69"/>
      <c r="G168" s="69"/>
      <c r="H168" s="69"/>
      <c r="I168" s="69"/>
      <c r="J168" s="69"/>
      <c r="K168" s="69"/>
    </row>
    <row r="169" spans="2:11" x14ac:dyDescent="0.3">
      <c r="B169" s="68"/>
      <c r="C169" s="69"/>
      <c r="D169" s="69"/>
      <c r="E169" s="69"/>
      <c r="F169" s="69"/>
      <c r="G169" s="69"/>
      <c r="H169" s="69"/>
      <c r="I169" s="69"/>
      <c r="J169" s="69"/>
      <c r="K169" s="69"/>
    </row>
    <row r="170" spans="2:11" x14ac:dyDescent="0.3">
      <c r="B170" s="68"/>
      <c r="C170" s="69"/>
      <c r="D170" s="69"/>
      <c r="E170" s="69"/>
      <c r="F170" s="69"/>
      <c r="G170" s="69"/>
      <c r="H170" s="69"/>
      <c r="I170" s="69"/>
      <c r="J170" s="69"/>
      <c r="K170" s="69"/>
    </row>
    <row r="171" spans="2:11" x14ac:dyDescent="0.3">
      <c r="B171" s="68"/>
      <c r="C171" s="69"/>
      <c r="D171" s="69"/>
      <c r="E171" s="69"/>
      <c r="F171" s="69"/>
      <c r="G171" s="69"/>
      <c r="H171" s="69"/>
      <c r="I171" s="69"/>
      <c r="J171" s="69"/>
      <c r="K171" s="69"/>
    </row>
    <row r="172" spans="2:11" x14ac:dyDescent="0.3">
      <c r="B172" s="68"/>
      <c r="C172" s="69"/>
      <c r="D172" s="69"/>
      <c r="E172" s="69"/>
      <c r="F172" s="69"/>
      <c r="G172" s="69"/>
      <c r="H172" s="69"/>
      <c r="I172" s="69"/>
      <c r="J172" s="69"/>
      <c r="K172" s="69"/>
    </row>
    <row r="173" spans="2:11" x14ac:dyDescent="0.3">
      <c r="B173" s="68"/>
      <c r="C173" s="69"/>
      <c r="D173" s="69"/>
      <c r="E173" s="69"/>
      <c r="F173" s="69"/>
      <c r="G173" s="69"/>
      <c r="H173" s="69"/>
      <c r="I173" s="69"/>
      <c r="J173" s="69"/>
      <c r="K173" s="69"/>
    </row>
    <row r="174" spans="2:11" x14ac:dyDescent="0.3">
      <c r="B174" s="68"/>
      <c r="C174" s="69"/>
      <c r="D174" s="69"/>
      <c r="E174" s="69"/>
      <c r="F174" s="69"/>
      <c r="G174" s="69"/>
      <c r="H174" s="69"/>
      <c r="I174" s="69"/>
      <c r="J174" s="69"/>
      <c r="K174" s="69"/>
    </row>
    <row r="175" spans="2:11" x14ac:dyDescent="0.3">
      <c r="B175" s="68"/>
      <c r="C175" s="69"/>
      <c r="D175" s="69"/>
      <c r="E175" s="69"/>
      <c r="F175" s="69"/>
      <c r="G175" s="69"/>
      <c r="H175" s="69"/>
      <c r="I175" s="69"/>
      <c r="J175" s="69"/>
      <c r="K175" s="69"/>
    </row>
    <row r="176" spans="2:11" x14ac:dyDescent="0.3">
      <c r="B176" s="68"/>
      <c r="C176" s="69"/>
      <c r="D176" s="69"/>
      <c r="E176" s="69"/>
      <c r="F176" s="69"/>
      <c r="G176" s="69"/>
      <c r="H176" s="69"/>
      <c r="I176" s="69"/>
      <c r="J176" s="69"/>
      <c r="K176" s="69"/>
    </row>
    <row r="177" spans="2:11" x14ac:dyDescent="0.3">
      <c r="B177" s="68"/>
      <c r="C177" s="69"/>
      <c r="D177" s="69"/>
      <c r="E177" s="69"/>
      <c r="F177" s="69"/>
      <c r="G177" s="69"/>
      <c r="H177" s="69"/>
      <c r="I177" s="69"/>
      <c r="J177" s="69"/>
      <c r="K177" s="69"/>
    </row>
    <row r="178" spans="2:11" x14ac:dyDescent="0.3">
      <c r="B178" s="68"/>
      <c r="C178" s="69"/>
      <c r="D178" s="69"/>
      <c r="E178" s="69"/>
      <c r="F178" s="69"/>
      <c r="G178" s="69"/>
      <c r="H178" s="69"/>
      <c r="I178" s="69"/>
      <c r="J178" s="69"/>
      <c r="K178" s="69"/>
    </row>
    <row r="179" spans="2:11" x14ac:dyDescent="0.3">
      <c r="B179" s="68"/>
      <c r="C179" s="69"/>
      <c r="D179" s="69"/>
      <c r="E179" s="69"/>
      <c r="F179" s="69"/>
      <c r="G179" s="69"/>
      <c r="H179" s="69"/>
      <c r="I179" s="69"/>
      <c r="J179" s="69"/>
      <c r="K179" s="69"/>
    </row>
    <row r="180" spans="2:11" x14ac:dyDescent="0.3">
      <c r="B180" s="68"/>
      <c r="C180" s="69"/>
      <c r="D180" s="69"/>
      <c r="E180" s="69"/>
      <c r="F180" s="69"/>
      <c r="G180" s="69"/>
      <c r="H180" s="69"/>
      <c r="I180" s="69"/>
      <c r="J180" s="69"/>
      <c r="K180" s="69"/>
    </row>
    <row r="181" spans="2:11" x14ac:dyDescent="0.3">
      <c r="B181" s="68"/>
      <c r="C181" s="69"/>
      <c r="D181" s="69"/>
      <c r="E181" s="69"/>
      <c r="F181" s="69"/>
      <c r="G181" s="69"/>
      <c r="H181" s="69"/>
      <c r="I181" s="69"/>
      <c r="J181" s="69"/>
      <c r="K181" s="69"/>
    </row>
    <row r="182" spans="2:11" x14ac:dyDescent="0.3">
      <c r="B182" s="68"/>
      <c r="C182" s="69"/>
      <c r="D182" s="69"/>
      <c r="E182" s="69"/>
      <c r="F182" s="69"/>
      <c r="G182" s="69"/>
      <c r="H182" s="69"/>
      <c r="I182" s="69"/>
      <c r="J182" s="69"/>
      <c r="K182" s="69"/>
    </row>
    <row r="183" spans="2:11" x14ac:dyDescent="0.3">
      <c r="B183" s="68"/>
      <c r="C183" s="69"/>
      <c r="D183" s="69"/>
      <c r="E183" s="69"/>
      <c r="F183" s="69"/>
      <c r="G183" s="69"/>
      <c r="H183" s="69"/>
      <c r="I183" s="69"/>
      <c r="J183" s="69"/>
      <c r="K183" s="69"/>
    </row>
    <row r="184" spans="2:11" x14ac:dyDescent="0.3">
      <c r="B184" s="68"/>
      <c r="C184" s="69"/>
      <c r="D184" s="69"/>
      <c r="E184" s="69"/>
      <c r="F184" s="69"/>
      <c r="G184" s="69"/>
      <c r="H184" s="69"/>
      <c r="I184" s="69"/>
      <c r="J184" s="69"/>
      <c r="K184" s="69"/>
    </row>
    <row r="185" spans="2:11" x14ac:dyDescent="0.3">
      <c r="B185" s="68"/>
      <c r="C185" s="69"/>
      <c r="D185" s="69"/>
      <c r="E185" s="69"/>
      <c r="F185" s="69"/>
      <c r="G185" s="69"/>
      <c r="H185" s="69"/>
      <c r="I185" s="69"/>
      <c r="J185" s="69"/>
      <c r="K185" s="69"/>
    </row>
    <row r="186" spans="2:11" x14ac:dyDescent="0.3">
      <c r="B186" s="68"/>
      <c r="C186" s="69"/>
      <c r="D186" s="69"/>
      <c r="E186" s="69"/>
      <c r="F186" s="69"/>
      <c r="G186" s="69"/>
      <c r="H186" s="69"/>
      <c r="I186" s="69"/>
      <c r="J186" s="69"/>
      <c r="K186" s="69"/>
    </row>
    <row r="187" spans="2:11" x14ac:dyDescent="0.3">
      <c r="B187" s="68"/>
      <c r="C187" s="69"/>
      <c r="D187" s="69"/>
      <c r="E187" s="69"/>
      <c r="F187" s="69"/>
      <c r="G187" s="69"/>
      <c r="H187" s="69"/>
      <c r="I187" s="69"/>
      <c r="J187" s="69"/>
      <c r="K187" s="69"/>
    </row>
    <row r="188" spans="2:11" x14ac:dyDescent="0.3">
      <c r="B188" s="68"/>
      <c r="C188" s="69"/>
      <c r="D188" s="69"/>
      <c r="E188" s="69"/>
      <c r="F188" s="69"/>
      <c r="G188" s="69"/>
      <c r="H188" s="69"/>
      <c r="I188" s="69"/>
      <c r="J188" s="69"/>
      <c r="K188" s="69"/>
    </row>
    <row r="189" spans="2:11" x14ac:dyDescent="0.3">
      <c r="B189" s="68"/>
      <c r="C189" s="69"/>
      <c r="D189" s="69"/>
      <c r="E189" s="69"/>
      <c r="F189" s="69"/>
      <c r="G189" s="69"/>
      <c r="H189" s="69"/>
      <c r="I189" s="69"/>
      <c r="J189" s="69"/>
      <c r="K189" s="69"/>
    </row>
    <row r="190" spans="2:11" x14ac:dyDescent="0.3">
      <c r="B190" s="68"/>
      <c r="C190" s="69"/>
      <c r="D190" s="69"/>
      <c r="E190" s="69"/>
      <c r="F190" s="69"/>
      <c r="G190" s="69"/>
      <c r="H190" s="69"/>
      <c r="I190" s="69"/>
      <c r="J190" s="69"/>
      <c r="K190" s="69"/>
    </row>
    <row r="191" spans="2:11" x14ac:dyDescent="0.3">
      <c r="B191" s="68"/>
      <c r="C191" s="69"/>
      <c r="D191" s="69"/>
      <c r="E191" s="69"/>
      <c r="F191" s="69"/>
      <c r="G191" s="69"/>
      <c r="H191" s="69"/>
      <c r="I191" s="69"/>
      <c r="J191" s="69"/>
      <c r="K191" s="69"/>
    </row>
    <row r="192" spans="2:11" x14ac:dyDescent="0.3">
      <c r="B192" s="68"/>
      <c r="C192" s="69"/>
      <c r="D192" s="69"/>
      <c r="E192" s="69"/>
      <c r="F192" s="69"/>
      <c r="G192" s="69"/>
      <c r="H192" s="69"/>
      <c r="I192" s="69"/>
      <c r="J192" s="69"/>
      <c r="K192" s="69"/>
    </row>
    <row r="193" spans="2:11" x14ac:dyDescent="0.3">
      <c r="B193" s="68"/>
      <c r="C193" s="69"/>
      <c r="D193" s="69"/>
      <c r="E193" s="69"/>
      <c r="F193" s="69"/>
      <c r="G193" s="69"/>
      <c r="H193" s="69"/>
      <c r="I193" s="69"/>
      <c r="J193" s="69"/>
      <c r="K193" s="69"/>
    </row>
    <row r="194" spans="2:11" x14ac:dyDescent="0.3">
      <c r="B194" s="68"/>
      <c r="C194" s="69"/>
      <c r="D194" s="69"/>
      <c r="E194" s="69"/>
      <c r="F194" s="69"/>
      <c r="G194" s="69"/>
      <c r="H194" s="69"/>
      <c r="I194" s="69"/>
      <c r="J194" s="69"/>
      <c r="K194" s="69"/>
    </row>
    <row r="195" spans="2:11" x14ac:dyDescent="0.3">
      <c r="B195" s="68"/>
      <c r="C195" s="69"/>
      <c r="D195" s="69"/>
      <c r="E195" s="69"/>
      <c r="F195" s="69"/>
      <c r="G195" s="69"/>
      <c r="H195" s="69"/>
      <c r="I195" s="69"/>
      <c r="J195" s="69"/>
      <c r="K195" s="69"/>
    </row>
    <row r="196" spans="2:11" x14ac:dyDescent="0.3">
      <c r="B196" s="68"/>
      <c r="C196" s="69"/>
      <c r="D196" s="69"/>
      <c r="E196" s="69"/>
      <c r="F196" s="69"/>
      <c r="G196" s="69"/>
      <c r="H196" s="69"/>
      <c r="I196" s="69"/>
      <c r="J196" s="69"/>
      <c r="K196" s="69"/>
    </row>
    <row r="197" spans="2:11" x14ac:dyDescent="0.3">
      <c r="B197" s="68"/>
      <c r="C197" s="69"/>
      <c r="D197" s="69"/>
      <c r="E197" s="69"/>
      <c r="F197" s="69"/>
      <c r="G197" s="69"/>
      <c r="H197" s="69"/>
      <c r="I197" s="69"/>
      <c r="J197" s="69"/>
      <c r="K197" s="69"/>
    </row>
    <row r="198" spans="2:11" x14ac:dyDescent="0.3">
      <c r="B198" s="68"/>
      <c r="C198" s="69"/>
      <c r="D198" s="69"/>
      <c r="E198" s="69"/>
      <c r="F198" s="69"/>
      <c r="G198" s="69"/>
      <c r="H198" s="69"/>
      <c r="I198" s="69"/>
      <c r="J198" s="69"/>
      <c r="K198" s="69"/>
    </row>
    <row r="199" spans="2:11" x14ac:dyDescent="0.3">
      <c r="B199" s="68"/>
      <c r="C199" s="69"/>
      <c r="D199" s="69"/>
      <c r="E199" s="69"/>
      <c r="F199" s="69"/>
      <c r="G199" s="69"/>
      <c r="H199" s="69"/>
      <c r="I199" s="69"/>
      <c r="J199" s="69"/>
      <c r="K199" s="69"/>
    </row>
    <row r="200" spans="2:11" x14ac:dyDescent="0.3">
      <c r="B200" s="68"/>
      <c r="C200" s="69"/>
      <c r="D200" s="69"/>
      <c r="E200" s="69"/>
      <c r="F200" s="69"/>
      <c r="G200" s="69"/>
      <c r="H200" s="69"/>
      <c r="I200" s="69"/>
      <c r="J200" s="69"/>
      <c r="K200" s="69"/>
    </row>
  </sheetData>
  <mergeCells count="15">
    <mergeCell ref="A1:K1"/>
    <mergeCell ref="A6:A8"/>
    <mergeCell ref="B6:B8"/>
    <mergeCell ref="C6:C8"/>
    <mergeCell ref="J6:J8"/>
    <mergeCell ref="K6:K8"/>
    <mergeCell ref="D7:D8"/>
    <mergeCell ref="E7:F7"/>
    <mergeCell ref="G7:G8"/>
    <mergeCell ref="H7:I7"/>
    <mergeCell ref="D6:I6"/>
    <mergeCell ref="A3:K3"/>
    <mergeCell ref="A4:K4"/>
    <mergeCell ref="A2:K2"/>
    <mergeCell ref="J5:K5"/>
  </mergeCells>
  <pageMargins left="0.28000000000000003" right="0.16" top="0.49" bottom="0.74803149606299213" header="0.31496062992125984" footer="0.31496062992125984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54"/>
  <sheetViews>
    <sheetView tabSelected="1" topLeftCell="A24" workbookViewId="0">
      <selection activeCell="E80" sqref="E80"/>
    </sheetView>
  </sheetViews>
  <sheetFormatPr defaultColWidth="9.7109375" defaultRowHeight="15.75" x14ac:dyDescent="0.25"/>
  <cols>
    <col min="1" max="1" width="4.42578125" style="168" customWidth="1"/>
    <col min="2" max="2" width="42.7109375" style="168" customWidth="1"/>
    <col min="3" max="3" width="6" style="168" customWidth="1"/>
    <col min="4" max="4" width="13" style="168" customWidth="1"/>
    <col min="5" max="5" width="13.140625" style="168" customWidth="1"/>
    <col min="6" max="6" width="12.42578125" style="168" customWidth="1"/>
    <col min="7" max="7" width="7.140625" style="168" customWidth="1"/>
    <col min="8" max="8" width="15.85546875" style="82" bestFit="1" customWidth="1"/>
    <col min="9" max="9" width="10.140625" style="82" bestFit="1" customWidth="1"/>
    <col min="10" max="16384" width="9.7109375" style="82"/>
  </cols>
  <sheetData>
    <row r="1" spans="1:9" s="75" customFormat="1" ht="20.45" customHeight="1" x14ac:dyDescent="0.25">
      <c r="A1" s="266" t="s">
        <v>142</v>
      </c>
      <c r="B1" s="266"/>
      <c r="C1" s="266"/>
      <c r="D1" s="266"/>
      <c r="E1" s="266"/>
      <c r="F1" s="266"/>
      <c r="G1" s="266"/>
    </row>
    <row r="2" spans="1:9" s="75" customFormat="1" ht="23.25" customHeight="1" x14ac:dyDescent="0.25">
      <c r="A2" s="310" t="s">
        <v>112</v>
      </c>
      <c r="B2" s="310"/>
      <c r="C2" s="310"/>
      <c r="D2" s="310"/>
      <c r="E2" s="310"/>
      <c r="F2" s="310"/>
      <c r="G2" s="310"/>
    </row>
    <row r="3" spans="1:9" s="76" customFormat="1" ht="15" customHeight="1" x14ac:dyDescent="0.25">
      <c r="A3" s="311" t="s">
        <v>294</v>
      </c>
      <c r="B3" s="311"/>
      <c r="C3" s="311"/>
      <c r="D3" s="311"/>
      <c r="E3" s="311"/>
      <c r="F3" s="311"/>
      <c r="G3" s="311"/>
    </row>
    <row r="4" spans="1:9" s="78" customFormat="1" ht="22.15" customHeight="1" x14ac:dyDescent="0.25">
      <c r="A4" s="77"/>
      <c r="B4" s="312" t="s">
        <v>279</v>
      </c>
      <c r="C4" s="312"/>
      <c r="D4" s="312"/>
      <c r="E4" s="312"/>
      <c r="F4" s="312"/>
      <c r="G4" s="312"/>
    </row>
    <row r="5" spans="1:9" s="79" customFormat="1" ht="31.15" customHeight="1" x14ac:dyDescent="0.25">
      <c r="A5" s="308" t="s">
        <v>2</v>
      </c>
      <c r="B5" s="308" t="s">
        <v>49</v>
      </c>
      <c r="C5" s="308" t="s">
        <v>149</v>
      </c>
      <c r="D5" s="308" t="s">
        <v>150</v>
      </c>
      <c r="E5" s="306" t="s">
        <v>53</v>
      </c>
      <c r="F5" s="307"/>
      <c r="G5" s="308" t="s">
        <v>88</v>
      </c>
    </row>
    <row r="6" spans="1:9" s="79" customFormat="1" ht="52.5" customHeight="1" x14ac:dyDescent="0.25">
      <c r="A6" s="309"/>
      <c r="B6" s="309"/>
      <c r="C6" s="309"/>
      <c r="D6" s="309"/>
      <c r="E6" s="160" t="s">
        <v>151</v>
      </c>
      <c r="F6" s="160" t="s">
        <v>152</v>
      </c>
      <c r="G6" s="309"/>
    </row>
    <row r="7" spans="1:9" s="79" customFormat="1" ht="24.75" customHeight="1" x14ac:dyDescent="0.25">
      <c r="A7" s="186"/>
      <c r="B7" s="187" t="s">
        <v>153</v>
      </c>
      <c r="C7" s="186"/>
      <c r="D7" s="188">
        <f>D8+D152</f>
        <v>52305940</v>
      </c>
      <c r="E7" s="188">
        <f>E8+E152</f>
        <v>34574127.174000002</v>
      </c>
      <c r="F7" s="188">
        <f>F8+F152</f>
        <v>17731812.826000001</v>
      </c>
      <c r="G7" s="186"/>
      <c r="H7" s="261"/>
      <c r="I7" s="248"/>
    </row>
    <row r="8" spans="1:9" s="80" customFormat="1" x14ac:dyDescent="0.2">
      <c r="A8" s="189" t="s">
        <v>4</v>
      </c>
      <c r="B8" s="190" t="s">
        <v>97</v>
      </c>
      <c r="C8" s="189"/>
      <c r="D8" s="191">
        <f>D9+D24+D31+D38+D111+D117+D129</f>
        <v>50966014</v>
      </c>
      <c r="E8" s="191">
        <f>E9+E24+E31+E38+E111+E117+E129</f>
        <v>34518154.174000002</v>
      </c>
      <c r="F8" s="191">
        <f>F9+F24+F31+F38+F111+F117+F129</f>
        <v>16447859.826000001</v>
      </c>
      <c r="G8" s="189"/>
      <c r="H8" s="262"/>
    </row>
    <row r="9" spans="1:9" s="80" customFormat="1" x14ac:dyDescent="0.25">
      <c r="A9" s="192">
        <v>1</v>
      </c>
      <c r="B9" s="193" t="s">
        <v>79</v>
      </c>
      <c r="C9" s="193"/>
      <c r="D9" s="194">
        <f>D10</f>
        <v>1378714</v>
      </c>
      <c r="E9" s="194">
        <f t="shared" ref="E9:F9" si="0">E10</f>
        <v>652653</v>
      </c>
      <c r="F9" s="194">
        <f t="shared" si="0"/>
        <v>726061</v>
      </c>
      <c r="G9" s="195"/>
    </row>
    <row r="10" spans="1:9" s="80" customFormat="1" x14ac:dyDescent="0.25">
      <c r="A10" s="196" t="s">
        <v>154</v>
      </c>
      <c r="B10" s="197" t="s">
        <v>155</v>
      </c>
      <c r="C10" s="197"/>
      <c r="D10" s="198">
        <f>SUM(D12:D23)</f>
        <v>1378714</v>
      </c>
      <c r="E10" s="198">
        <f>E11</f>
        <v>652653</v>
      </c>
      <c r="F10" s="198">
        <f>SUM(F17:F23)</f>
        <v>726061</v>
      </c>
      <c r="G10" s="199"/>
    </row>
    <row r="11" spans="1:9" s="81" customFormat="1" hidden="1" x14ac:dyDescent="0.25">
      <c r="A11" s="200"/>
      <c r="B11" s="201" t="s">
        <v>156</v>
      </c>
      <c r="C11" s="202"/>
      <c r="D11" s="203">
        <f t="shared" ref="D11:D16" si="1">E11</f>
        <v>652653</v>
      </c>
      <c r="E11" s="203">
        <f>SUM(E12:E16)</f>
        <v>652653</v>
      </c>
      <c r="F11" s="204"/>
      <c r="G11" s="205"/>
    </row>
    <row r="12" spans="1:9" s="81" customFormat="1" ht="31.5" hidden="1" x14ac:dyDescent="0.25">
      <c r="A12" s="192"/>
      <c r="B12" s="161" t="s">
        <v>194</v>
      </c>
      <c r="C12" s="193"/>
      <c r="D12" s="206">
        <f t="shared" si="1"/>
        <v>300000</v>
      </c>
      <c r="E12" s="206">
        <v>300000</v>
      </c>
      <c r="F12" s="206"/>
      <c r="G12" s="195"/>
    </row>
    <row r="13" spans="1:9" s="80" customFormat="1" ht="31.5" hidden="1" x14ac:dyDescent="0.25">
      <c r="A13" s="192"/>
      <c r="B13" s="162" t="s">
        <v>195</v>
      </c>
      <c r="C13" s="193"/>
      <c r="D13" s="206">
        <f t="shared" si="1"/>
        <v>218563</v>
      </c>
      <c r="E13" s="206">
        <v>218563</v>
      </c>
      <c r="F13" s="206">
        <f>D13-E13</f>
        <v>0</v>
      </c>
      <c r="G13" s="195"/>
    </row>
    <row r="14" spans="1:9" s="81" customFormat="1" ht="31.5" hidden="1" x14ac:dyDescent="0.25">
      <c r="A14" s="192"/>
      <c r="B14" s="163" t="s">
        <v>157</v>
      </c>
      <c r="C14" s="193"/>
      <c r="D14" s="206">
        <f t="shared" si="1"/>
        <v>121590</v>
      </c>
      <c r="E14" s="206">
        <v>121590</v>
      </c>
      <c r="F14" s="206">
        <f>D14-E14</f>
        <v>0</v>
      </c>
      <c r="G14" s="195"/>
    </row>
    <row r="15" spans="1:9" s="81" customFormat="1" hidden="1" x14ac:dyDescent="0.25">
      <c r="A15" s="192"/>
      <c r="B15" s="162" t="s">
        <v>196</v>
      </c>
      <c r="C15" s="193"/>
      <c r="D15" s="206">
        <f t="shared" si="1"/>
        <v>6200</v>
      </c>
      <c r="E15" s="206">
        <v>6200</v>
      </c>
      <c r="F15" s="206">
        <f>D15-E15</f>
        <v>0</v>
      </c>
      <c r="G15" s="195"/>
    </row>
    <row r="16" spans="1:9" s="81" customFormat="1" hidden="1" x14ac:dyDescent="0.25">
      <c r="A16" s="192"/>
      <c r="B16" s="162" t="s">
        <v>197</v>
      </c>
      <c r="C16" s="193"/>
      <c r="D16" s="206">
        <f t="shared" si="1"/>
        <v>6300</v>
      </c>
      <c r="E16" s="206">
        <v>6300</v>
      </c>
      <c r="F16" s="206">
        <f t="shared" ref="F16:F23" si="2">D16-E16</f>
        <v>0</v>
      </c>
      <c r="G16" s="195"/>
    </row>
    <row r="17" spans="1:7" s="81" customFormat="1" ht="31.5" hidden="1" x14ac:dyDescent="0.25">
      <c r="A17" s="192"/>
      <c r="B17" s="162" t="s">
        <v>195</v>
      </c>
      <c r="C17" s="193"/>
      <c r="D17" s="206">
        <v>8191</v>
      </c>
      <c r="E17" s="206"/>
      <c r="F17" s="206">
        <f t="shared" si="2"/>
        <v>8191</v>
      </c>
      <c r="G17" s="195"/>
    </row>
    <row r="18" spans="1:7" s="81" customFormat="1" ht="31.5" hidden="1" x14ac:dyDescent="0.25">
      <c r="A18" s="192"/>
      <c r="B18" s="163" t="s">
        <v>157</v>
      </c>
      <c r="C18" s="193"/>
      <c r="D18" s="206">
        <v>97309</v>
      </c>
      <c r="E18" s="206"/>
      <c r="F18" s="206">
        <f t="shared" si="2"/>
        <v>97309</v>
      </c>
      <c r="G18" s="195"/>
    </row>
    <row r="19" spans="1:7" s="81" customFormat="1" hidden="1" x14ac:dyDescent="0.25">
      <c r="A19" s="192"/>
      <c r="B19" s="162" t="s">
        <v>196</v>
      </c>
      <c r="C19" s="193"/>
      <c r="D19" s="206">
        <v>1800</v>
      </c>
      <c r="E19" s="206"/>
      <c r="F19" s="206">
        <f t="shared" si="2"/>
        <v>1800</v>
      </c>
      <c r="G19" s="195"/>
    </row>
    <row r="20" spans="1:7" s="81" customFormat="1" hidden="1" x14ac:dyDescent="0.25">
      <c r="A20" s="192"/>
      <c r="B20" s="162" t="s">
        <v>199</v>
      </c>
      <c r="C20" s="193"/>
      <c r="D20" s="206">
        <v>88316</v>
      </c>
      <c r="E20" s="206"/>
      <c r="F20" s="206">
        <f t="shared" si="2"/>
        <v>88316</v>
      </c>
      <c r="G20" s="195"/>
    </row>
    <row r="21" spans="1:7" s="81" customFormat="1" ht="31.5" hidden="1" x14ac:dyDescent="0.25">
      <c r="A21" s="192"/>
      <c r="B21" s="162" t="s">
        <v>200</v>
      </c>
      <c r="C21" s="193"/>
      <c r="D21" s="206">
        <v>68445</v>
      </c>
      <c r="E21" s="206"/>
      <c r="F21" s="206">
        <f t="shared" si="2"/>
        <v>68445</v>
      </c>
      <c r="G21" s="195"/>
    </row>
    <row r="22" spans="1:7" s="80" customFormat="1" ht="31.5" hidden="1" x14ac:dyDescent="0.25">
      <c r="A22" s="192"/>
      <c r="B22" s="162" t="s">
        <v>198</v>
      </c>
      <c r="C22" s="193"/>
      <c r="D22" s="206">
        <v>14000</v>
      </c>
      <c r="E22" s="206"/>
      <c r="F22" s="206">
        <f t="shared" si="2"/>
        <v>14000</v>
      </c>
      <c r="G22" s="195"/>
    </row>
    <row r="23" spans="1:7" s="80" customFormat="1" hidden="1" x14ac:dyDescent="0.25">
      <c r="A23" s="192"/>
      <c r="B23" s="164" t="s">
        <v>158</v>
      </c>
      <c r="C23" s="193"/>
      <c r="D23" s="206">
        <v>448000</v>
      </c>
      <c r="E23" s="206"/>
      <c r="F23" s="206">
        <f t="shared" si="2"/>
        <v>448000</v>
      </c>
      <c r="G23" s="195"/>
    </row>
    <row r="24" spans="1:7" s="81" customFormat="1" x14ac:dyDescent="0.25">
      <c r="A24" s="192">
        <v>2</v>
      </c>
      <c r="B24" s="193" t="s">
        <v>143</v>
      </c>
      <c r="C24" s="193"/>
      <c r="D24" s="194">
        <f>D25+D27+D29</f>
        <v>1011008</v>
      </c>
      <c r="E24" s="194">
        <f t="shared" ref="E24:F24" si="3">E25+E27+E29</f>
        <v>2000</v>
      </c>
      <c r="F24" s="194">
        <f t="shared" si="3"/>
        <v>1009008</v>
      </c>
      <c r="G24" s="199"/>
    </row>
    <row r="25" spans="1:7" s="81" customFormat="1" x14ac:dyDescent="0.25">
      <c r="A25" s="196" t="s">
        <v>159</v>
      </c>
      <c r="B25" s="197" t="s">
        <v>160</v>
      </c>
      <c r="C25" s="197"/>
      <c r="D25" s="198">
        <f>D26</f>
        <v>73008</v>
      </c>
      <c r="E25" s="198">
        <f t="shared" ref="E25" si="4">E26</f>
        <v>0</v>
      </c>
      <c r="F25" s="198">
        <f>F26</f>
        <v>73008</v>
      </c>
      <c r="G25" s="199"/>
    </row>
    <row r="26" spans="1:7" s="80" customFormat="1" ht="63" hidden="1" x14ac:dyDescent="0.25">
      <c r="A26" s="196"/>
      <c r="B26" s="165" t="s">
        <v>161</v>
      </c>
      <c r="C26" s="197"/>
      <c r="D26" s="206">
        <f>E26+F26</f>
        <v>73008</v>
      </c>
      <c r="E26" s="206"/>
      <c r="F26" s="206">
        <v>73008</v>
      </c>
      <c r="G26" s="199"/>
    </row>
    <row r="27" spans="1:7" s="80" customFormat="1" x14ac:dyDescent="0.25">
      <c r="A27" s="196" t="s">
        <v>162</v>
      </c>
      <c r="B27" s="165" t="s">
        <v>163</v>
      </c>
      <c r="C27" s="197"/>
      <c r="D27" s="198">
        <f>D28</f>
        <v>2000</v>
      </c>
      <c r="E27" s="198">
        <f>SUBTOTAL(9,E28)</f>
        <v>2000</v>
      </c>
      <c r="F27" s="198">
        <f t="shared" ref="F27" si="5">SUBTOTAL(9,F28)</f>
        <v>0</v>
      </c>
      <c r="G27" s="199"/>
    </row>
    <row r="28" spans="1:7" hidden="1" x14ac:dyDescent="0.25">
      <c r="A28" s="200"/>
      <c r="B28" s="166" t="s">
        <v>164</v>
      </c>
      <c r="C28" s="202"/>
      <c r="D28" s="204">
        <f>E28</f>
        <v>2000</v>
      </c>
      <c r="E28" s="204">
        <v>2000</v>
      </c>
      <c r="F28" s="204">
        <v>0</v>
      </c>
      <c r="G28" s="207"/>
    </row>
    <row r="29" spans="1:7" x14ac:dyDescent="0.25">
      <c r="A29" s="196" t="s">
        <v>162</v>
      </c>
      <c r="B29" s="165" t="s">
        <v>201</v>
      </c>
      <c r="C29" s="197"/>
      <c r="D29" s="198">
        <f>E29+F29</f>
        <v>936000</v>
      </c>
      <c r="E29" s="198">
        <f>SUBTOTAL(9,E30:E30)</f>
        <v>0</v>
      </c>
      <c r="F29" s="198">
        <f>F30</f>
        <v>936000</v>
      </c>
      <c r="G29" s="199"/>
    </row>
    <row r="30" spans="1:7" s="178" customFormat="1" x14ac:dyDescent="0.25">
      <c r="A30" s="200"/>
      <c r="B30" s="167" t="s">
        <v>202</v>
      </c>
      <c r="C30" s="202"/>
      <c r="D30" s="204">
        <f>E30+F30</f>
        <v>936000</v>
      </c>
      <c r="E30" s="204"/>
      <c r="F30" s="204">
        <v>936000</v>
      </c>
      <c r="G30" s="207"/>
    </row>
    <row r="31" spans="1:7" x14ac:dyDescent="0.25">
      <c r="A31" s="192">
        <v>3</v>
      </c>
      <c r="B31" s="193" t="s">
        <v>144</v>
      </c>
      <c r="C31" s="193"/>
      <c r="D31" s="194">
        <f>D32+D36</f>
        <v>105054</v>
      </c>
      <c r="E31" s="194">
        <f t="shared" ref="E31:F31" si="6">E32+E36</f>
        <v>37380</v>
      </c>
      <c r="F31" s="194">
        <f t="shared" si="6"/>
        <v>67674</v>
      </c>
      <c r="G31" s="199"/>
    </row>
    <row r="32" spans="1:7" x14ac:dyDescent="0.25">
      <c r="A32" s="196" t="s">
        <v>165</v>
      </c>
      <c r="B32" s="197" t="s">
        <v>160</v>
      </c>
      <c r="C32" s="197"/>
      <c r="D32" s="198">
        <v>67674</v>
      </c>
      <c r="E32" s="198"/>
      <c r="F32" s="198">
        <f>D32-E32</f>
        <v>67674</v>
      </c>
      <c r="G32" s="199"/>
    </row>
    <row r="33" spans="1:7" s="178" customFormat="1" hidden="1" x14ac:dyDescent="0.25">
      <c r="A33" s="208"/>
      <c r="B33" s="201" t="s">
        <v>203</v>
      </c>
      <c r="C33" s="201"/>
      <c r="D33" s="203">
        <f>E33+F33</f>
        <v>17000</v>
      </c>
      <c r="E33" s="203"/>
      <c r="F33" s="203">
        <v>17000</v>
      </c>
      <c r="G33" s="207"/>
    </row>
    <row r="34" spans="1:7" s="178" customFormat="1" hidden="1" x14ac:dyDescent="0.25">
      <c r="A34" s="208"/>
      <c r="B34" s="201" t="s">
        <v>204</v>
      </c>
      <c r="C34" s="201"/>
      <c r="D34" s="203">
        <f t="shared" ref="D34:D35" si="7">E34+F34</f>
        <v>20674</v>
      </c>
      <c r="E34" s="203"/>
      <c r="F34" s="203">
        <v>20674</v>
      </c>
      <c r="G34" s="207"/>
    </row>
    <row r="35" spans="1:7" s="178" customFormat="1" hidden="1" x14ac:dyDescent="0.25">
      <c r="A35" s="208"/>
      <c r="B35" s="201" t="s">
        <v>205</v>
      </c>
      <c r="C35" s="201"/>
      <c r="D35" s="203">
        <f t="shared" si="7"/>
        <v>30000</v>
      </c>
      <c r="E35" s="203"/>
      <c r="F35" s="203">
        <v>30000</v>
      </c>
      <c r="G35" s="207"/>
    </row>
    <row r="36" spans="1:7" x14ac:dyDescent="0.25">
      <c r="A36" s="196" t="s">
        <v>166</v>
      </c>
      <c r="B36" s="197" t="s">
        <v>155</v>
      </c>
      <c r="C36" s="197"/>
      <c r="D36" s="198">
        <f>SUBTOTAL(9,D37)</f>
        <v>37380</v>
      </c>
      <c r="E36" s="198">
        <f t="shared" ref="E36" si="8">SUBTOTAL(9,E37)</f>
        <v>37380</v>
      </c>
      <c r="F36" s="198">
        <f t="shared" ref="F36:F37" si="9">D36-E36</f>
        <v>0</v>
      </c>
      <c r="G36" s="199"/>
    </row>
    <row r="37" spans="1:7" s="178" customFormat="1" hidden="1" x14ac:dyDescent="0.25">
      <c r="A37" s="208"/>
      <c r="B37" s="201" t="s">
        <v>156</v>
      </c>
      <c r="C37" s="201"/>
      <c r="D37" s="203">
        <v>37380</v>
      </c>
      <c r="E37" s="203">
        <v>37380</v>
      </c>
      <c r="F37" s="203">
        <f t="shared" si="9"/>
        <v>0</v>
      </c>
      <c r="G37" s="207"/>
    </row>
    <row r="38" spans="1:7" x14ac:dyDescent="0.25">
      <c r="A38" s="192">
        <v>4</v>
      </c>
      <c r="B38" s="193" t="s">
        <v>80</v>
      </c>
      <c r="C38" s="193"/>
      <c r="D38" s="194">
        <f>D39+D51+D64+D79+D91+D100+D107+D110+D109+D108</f>
        <v>14519392.233000003</v>
      </c>
      <c r="E38" s="194">
        <f t="shared" ref="E38:F38" si="10">E39+E51+E64+E79+E91+E100+E107+E110+E109+E108</f>
        <v>5214840.9670000002</v>
      </c>
      <c r="F38" s="194">
        <f t="shared" si="10"/>
        <v>9304551.2660000008</v>
      </c>
      <c r="G38" s="195"/>
    </row>
    <row r="39" spans="1:7" x14ac:dyDescent="0.25">
      <c r="A39" s="196" t="s">
        <v>167</v>
      </c>
      <c r="B39" s="197" t="s">
        <v>206</v>
      </c>
      <c r="C39" s="197"/>
      <c r="D39" s="198">
        <f>SUM(D40:D50)</f>
        <v>1897449.4280000001</v>
      </c>
      <c r="E39" s="198">
        <v>0</v>
      </c>
      <c r="F39" s="198">
        <f>D39-E39</f>
        <v>1897449.4280000001</v>
      </c>
      <c r="G39" s="199"/>
    </row>
    <row r="40" spans="1:7" s="178" customFormat="1" hidden="1" x14ac:dyDescent="0.25">
      <c r="A40" s="208"/>
      <c r="B40" s="167" t="s">
        <v>227</v>
      </c>
      <c r="C40" s="201"/>
      <c r="D40" s="203">
        <f>F40</f>
        <v>1211156.388</v>
      </c>
      <c r="E40" s="203"/>
      <c r="F40" s="240">
        <v>1211156.388</v>
      </c>
      <c r="G40" s="207"/>
    </row>
    <row r="41" spans="1:7" s="178" customFormat="1" ht="31.5" hidden="1" x14ac:dyDescent="0.25">
      <c r="A41" s="208"/>
      <c r="B41" s="167" t="s">
        <v>285</v>
      </c>
      <c r="C41" s="201"/>
      <c r="D41" s="204">
        <f>17*10000</f>
        <v>170000</v>
      </c>
      <c r="E41" s="204"/>
      <c r="F41" s="204">
        <f t="shared" ref="F41:F50" si="11">D41</f>
        <v>170000</v>
      </c>
      <c r="G41" s="207"/>
    </row>
    <row r="42" spans="1:7" s="178" customFormat="1" hidden="1" x14ac:dyDescent="0.25">
      <c r="A42" s="208"/>
      <c r="B42" s="167" t="s">
        <v>228</v>
      </c>
      <c r="C42" s="201"/>
      <c r="D42" s="204">
        <v>181481.04</v>
      </c>
      <c r="E42" s="204"/>
      <c r="F42" s="204">
        <f t="shared" si="11"/>
        <v>181481.04</v>
      </c>
      <c r="G42" s="207"/>
    </row>
    <row r="43" spans="1:7" s="178" customFormat="1" ht="31.5" hidden="1" x14ac:dyDescent="0.25">
      <c r="A43" s="208"/>
      <c r="B43" s="167" t="s">
        <v>229</v>
      </c>
      <c r="C43" s="201"/>
      <c r="D43" s="204">
        <v>18252</v>
      </c>
      <c r="E43" s="204"/>
      <c r="F43" s="204">
        <f t="shared" si="11"/>
        <v>18252</v>
      </c>
      <c r="G43" s="207"/>
    </row>
    <row r="44" spans="1:7" s="178" customFormat="1" ht="31.5" hidden="1" x14ac:dyDescent="0.25">
      <c r="A44" s="208"/>
      <c r="B44" s="179" t="s">
        <v>230</v>
      </c>
      <c r="C44" s="201"/>
      <c r="D44" s="204">
        <v>96876</v>
      </c>
      <c r="E44" s="204"/>
      <c r="F44" s="204">
        <f t="shared" si="11"/>
        <v>96876</v>
      </c>
      <c r="G44" s="207"/>
    </row>
    <row r="45" spans="1:7" s="178" customFormat="1" hidden="1" x14ac:dyDescent="0.25">
      <c r="A45" s="208"/>
      <c r="B45" s="167" t="s">
        <v>231</v>
      </c>
      <c r="C45" s="201"/>
      <c r="D45" s="203">
        <v>80000</v>
      </c>
      <c r="E45" s="203"/>
      <c r="F45" s="203">
        <f t="shared" si="11"/>
        <v>80000</v>
      </c>
      <c r="G45" s="207"/>
    </row>
    <row r="46" spans="1:7" s="178" customFormat="1" hidden="1" x14ac:dyDescent="0.25">
      <c r="A46" s="208"/>
      <c r="B46" s="167" t="s">
        <v>232</v>
      </c>
      <c r="C46" s="201"/>
      <c r="D46" s="203">
        <v>24684</v>
      </c>
      <c r="E46" s="203"/>
      <c r="F46" s="203">
        <f t="shared" si="11"/>
        <v>24684</v>
      </c>
      <c r="G46" s="207"/>
    </row>
    <row r="47" spans="1:7" s="178" customFormat="1" ht="31.5" hidden="1" x14ac:dyDescent="0.25">
      <c r="A47" s="208"/>
      <c r="B47" s="167" t="s">
        <v>233</v>
      </c>
      <c r="C47" s="201"/>
      <c r="D47" s="204">
        <v>15000</v>
      </c>
      <c r="E47" s="204"/>
      <c r="F47" s="204">
        <f t="shared" si="11"/>
        <v>15000</v>
      </c>
      <c r="G47" s="207"/>
    </row>
    <row r="48" spans="1:7" s="178" customFormat="1" hidden="1" x14ac:dyDescent="0.25">
      <c r="A48" s="208"/>
      <c r="B48" s="180" t="s">
        <v>234</v>
      </c>
      <c r="C48" s="201"/>
      <c r="D48" s="204">
        <v>40000</v>
      </c>
      <c r="E48" s="204"/>
      <c r="F48" s="204">
        <f t="shared" si="11"/>
        <v>40000</v>
      </c>
      <c r="G48" s="207"/>
    </row>
    <row r="49" spans="1:7" s="178" customFormat="1" ht="31.5" hidden="1" x14ac:dyDescent="0.25">
      <c r="A49" s="208"/>
      <c r="B49" s="167" t="s">
        <v>235</v>
      </c>
      <c r="C49" s="201"/>
      <c r="D49" s="204">
        <v>10000</v>
      </c>
      <c r="E49" s="204"/>
      <c r="F49" s="204">
        <f t="shared" si="11"/>
        <v>10000</v>
      </c>
      <c r="G49" s="207"/>
    </row>
    <row r="50" spans="1:7" s="178" customFormat="1" hidden="1" x14ac:dyDescent="0.25">
      <c r="A50" s="208"/>
      <c r="B50" s="167" t="s">
        <v>236</v>
      </c>
      <c r="C50" s="201"/>
      <c r="D50" s="203">
        <v>50000</v>
      </c>
      <c r="E50" s="203"/>
      <c r="F50" s="203">
        <f t="shared" si="11"/>
        <v>50000</v>
      </c>
      <c r="G50" s="207"/>
    </row>
    <row r="51" spans="1:7" x14ac:dyDescent="0.25">
      <c r="A51" s="196" t="s">
        <v>168</v>
      </c>
      <c r="B51" s="197" t="s">
        <v>169</v>
      </c>
      <c r="C51" s="197"/>
      <c r="D51" s="198">
        <f>SUM(D52:D63)</f>
        <v>635539.56000000006</v>
      </c>
      <c r="E51" s="198">
        <v>0</v>
      </c>
      <c r="F51" s="198">
        <f t="shared" ref="F51" si="12">D51-E51</f>
        <v>635539.56000000006</v>
      </c>
      <c r="G51" s="199"/>
    </row>
    <row r="52" spans="1:7" s="178" customFormat="1" ht="0.75" hidden="1" customHeight="1" x14ac:dyDescent="0.25">
      <c r="A52" s="208"/>
      <c r="B52" s="177" t="s">
        <v>237</v>
      </c>
      <c r="C52" s="201"/>
      <c r="D52" s="203">
        <v>386874</v>
      </c>
      <c r="E52" s="203"/>
      <c r="F52" s="203">
        <f>D52</f>
        <v>386874</v>
      </c>
      <c r="G52" s="207"/>
    </row>
    <row r="53" spans="1:7" s="178" customFormat="1" ht="0.75" hidden="1" customHeight="1" x14ac:dyDescent="0.25">
      <c r="A53" s="208"/>
      <c r="B53" s="177" t="s">
        <v>286</v>
      </c>
      <c r="C53" s="201"/>
      <c r="D53" s="203">
        <v>60000</v>
      </c>
      <c r="E53" s="203"/>
      <c r="F53" s="203">
        <f t="shared" ref="F53:F63" si="13">D53</f>
        <v>60000</v>
      </c>
      <c r="G53" s="207"/>
    </row>
    <row r="54" spans="1:7" s="178" customFormat="1" ht="0.75" hidden="1" customHeight="1" x14ac:dyDescent="0.25">
      <c r="A54" s="208"/>
      <c r="B54" s="167" t="s">
        <v>238</v>
      </c>
      <c r="C54" s="201"/>
      <c r="D54" s="204">
        <v>54250.559999999998</v>
      </c>
      <c r="E54" s="204"/>
      <c r="F54" s="204">
        <f t="shared" si="13"/>
        <v>54250.559999999998</v>
      </c>
      <c r="G54" s="207"/>
    </row>
    <row r="55" spans="1:7" s="178" customFormat="1" ht="0.75" hidden="1" customHeight="1" x14ac:dyDescent="0.25">
      <c r="A55" s="208"/>
      <c r="B55" s="181" t="s">
        <v>239</v>
      </c>
      <c r="C55" s="201"/>
      <c r="D55" s="204">
        <v>53415</v>
      </c>
      <c r="E55" s="204"/>
      <c r="F55" s="204">
        <f t="shared" si="13"/>
        <v>53415</v>
      </c>
      <c r="G55" s="207"/>
    </row>
    <row r="56" spans="1:7" s="178" customFormat="1" ht="0.75" hidden="1" customHeight="1" x14ac:dyDescent="0.25">
      <c r="A56" s="208"/>
      <c r="B56" s="181" t="s">
        <v>240</v>
      </c>
      <c r="C56" s="201"/>
      <c r="D56" s="203">
        <v>20000</v>
      </c>
      <c r="E56" s="203"/>
      <c r="F56" s="203">
        <f t="shared" si="13"/>
        <v>20000</v>
      </c>
      <c r="G56" s="207"/>
    </row>
    <row r="57" spans="1:7" s="178" customFormat="1" ht="0.75" hidden="1" customHeight="1" x14ac:dyDescent="0.25">
      <c r="A57" s="208"/>
      <c r="B57" s="181" t="s">
        <v>241</v>
      </c>
      <c r="C57" s="201"/>
      <c r="D57" s="203">
        <v>2000</v>
      </c>
      <c r="E57" s="203"/>
      <c r="F57" s="203">
        <f t="shared" si="13"/>
        <v>2000</v>
      </c>
      <c r="G57" s="207"/>
    </row>
    <row r="58" spans="1:7" s="178" customFormat="1" ht="0.75" hidden="1" customHeight="1" x14ac:dyDescent="0.25">
      <c r="A58" s="208"/>
      <c r="B58" s="181" t="s">
        <v>284</v>
      </c>
      <c r="C58" s="201"/>
      <c r="D58" s="204">
        <f>31840-21840</f>
        <v>10000</v>
      </c>
      <c r="E58" s="204"/>
      <c r="F58" s="204">
        <f>D58</f>
        <v>10000</v>
      </c>
      <c r="G58" s="207"/>
    </row>
    <row r="59" spans="1:7" s="178" customFormat="1" ht="0.75" hidden="1" customHeight="1" x14ac:dyDescent="0.25">
      <c r="A59" s="208"/>
      <c r="B59" s="181" t="s">
        <v>280</v>
      </c>
      <c r="C59" s="201"/>
      <c r="D59" s="203">
        <f t="shared" ref="D59" si="14">E59+F59</f>
        <v>9000</v>
      </c>
      <c r="E59" s="203"/>
      <c r="F59" s="203">
        <f>1500*6</f>
        <v>9000</v>
      </c>
      <c r="G59" s="207"/>
    </row>
    <row r="60" spans="1:7" s="178" customFormat="1" ht="0.75" hidden="1" customHeight="1" x14ac:dyDescent="0.25">
      <c r="A60" s="208"/>
      <c r="B60" s="181" t="s">
        <v>242</v>
      </c>
      <c r="C60" s="201"/>
      <c r="D60" s="203">
        <v>10000</v>
      </c>
      <c r="E60" s="203"/>
      <c r="F60" s="203">
        <f t="shared" si="13"/>
        <v>10000</v>
      </c>
      <c r="G60" s="207"/>
    </row>
    <row r="61" spans="1:7" s="178" customFormat="1" ht="0.75" hidden="1" customHeight="1" x14ac:dyDescent="0.25">
      <c r="A61" s="208"/>
      <c r="B61" s="181" t="s">
        <v>243</v>
      </c>
      <c r="C61" s="201"/>
      <c r="D61" s="203">
        <v>10000</v>
      </c>
      <c r="E61" s="203"/>
      <c r="F61" s="203">
        <f t="shared" si="13"/>
        <v>10000</v>
      </c>
      <c r="G61" s="207"/>
    </row>
    <row r="62" spans="1:7" s="178" customFormat="1" ht="0.75" hidden="1" customHeight="1" x14ac:dyDescent="0.25">
      <c r="A62" s="208"/>
      <c r="B62" s="181" t="s">
        <v>244</v>
      </c>
      <c r="C62" s="201"/>
      <c r="D62" s="203">
        <v>10000</v>
      </c>
      <c r="E62" s="203"/>
      <c r="F62" s="203">
        <f t="shared" si="13"/>
        <v>10000</v>
      </c>
      <c r="G62" s="207"/>
    </row>
    <row r="63" spans="1:7" s="178" customFormat="1" ht="0.75" hidden="1" customHeight="1" x14ac:dyDescent="0.25">
      <c r="A63" s="208"/>
      <c r="B63" s="181" t="s">
        <v>245</v>
      </c>
      <c r="C63" s="201"/>
      <c r="D63" s="203">
        <v>10000</v>
      </c>
      <c r="E63" s="203"/>
      <c r="F63" s="203">
        <f t="shared" si="13"/>
        <v>10000</v>
      </c>
      <c r="G63" s="207"/>
    </row>
    <row r="64" spans="1:7" ht="21.75" customHeight="1" x14ac:dyDescent="0.25">
      <c r="A64" s="210" t="s">
        <v>170</v>
      </c>
      <c r="B64" s="228" t="s">
        <v>171</v>
      </c>
      <c r="C64" s="228"/>
      <c r="D64" s="206">
        <f>SUM(D65:D78)</f>
        <v>3754610.2719999999</v>
      </c>
      <c r="E64" s="206">
        <v>0</v>
      </c>
      <c r="F64" s="206">
        <f>D64-E64</f>
        <v>3754610.2719999999</v>
      </c>
      <c r="G64" s="199"/>
    </row>
    <row r="65" spans="1:7" ht="21" hidden="1" customHeight="1" x14ac:dyDescent="0.25">
      <c r="A65" s="196"/>
      <c r="B65" s="167" t="s">
        <v>246</v>
      </c>
      <c r="C65" s="197"/>
      <c r="D65" s="241">
        <v>1031143.992</v>
      </c>
      <c r="E65" s="203"/>
      <c r="F65" s="203">
        <f>D65</f>
        <v>1031143.992</v>
      </c>
      <c r="G65" s="199"/>
    </row>
    <row r="66" spans="1:7" ht="21" hidden="1" customHeight="1" x14ac:dyDescent="0.25">
      <c r="A66" s="196"/>
      <c r="B66" s="167" t="s">
        <v>287</v>
      </c>
      <c r="C66" s="197"/>
      <c r="D66" s="203">
        <v>140000</v>
      </c>
      <c r="E66" s="203"/>
      <c r="F66" s="203">
        <f t="shared" ref="F66:F78" si="15">D66</f>
        <v>140000</v>
      </c>
      <c r="G66" s="199"/>
    </row>
    <row r="67" spans="1:7" ht="21" hidden="1" customHeight="1" x14ac:dyDescent="0.25">
      <c r="A67" s="196"/>
      <c r="B67" s="167" t="s">
        <v>228</v>
      </c>
      <c r="C67" s="197"/>
      <c r="D67" s="203">
        <v>146886.48000000001</v>
      </c>
      <c r="E67" s="203"/>
      <c r="F67" s="203">
        <f t="shared" si="15"/>
        <v>146886.48000000001</v>
      </c>
      <c r="G67" s="199"/>
    </row>
    <row r="68" spans="1:7" ht="21" hidden="1" customHeight="1" x14ac:dyDescent="0.25">
      <c r="A68" s="196"/>
      <c r="B68" s="167" t="s">
        <v>312</v>
      </c>
      <c r="C68" s="197"/>
      <c r="D68" s="204">
        <f>36000+6188+21000</f>
        <v>63188</v>
      </c>
      <c r="E68" s="204"/>
      <c r="F68" s="204">
        <f t="shared" si="15"/>
        <v>63188</v>
      </c>
      <c r="G68" s="199"/>
    </row>
    <row r="69" spans="1:7" ht="21" hidden="1" customHeight="1" x14ac:dyDescent="0.25">
      <c r="A69" s="196"/>
      <c r="B69" s="167" t="s">
        <v>247</v>
      </c>
      <c r="C69" s="197"/>
      <c r="D69" s="203">
        <v>604095</v>
      </c>
      <c r="E69" s="203"/>
      <c r="F69" s="203">
        <f t="shared" si="15"/>
        <v>604095</v>
      </c>
      <c r="G69" s="199"/>
    </row>
    <row r="70" spans="1:7" ht="21" hidden="1" customHeight="1" x14ac:dyDescent="0.25">
      <c r="A70" s="196"/>
      <c r="B70" s="182" t="s">
        <v>248</v>
      </c>
      <c r="C70" s="197"/>
      <c r="D70" s="204">
        <v>1031940</v>
      </c>
      <c r="E70" s="204"/>
      <c r="F70" s="204">
        <f t="shared" si="15"/>
        <v>1031940</v>
      </c>
      <c r="G70" s="199"/>
    </row>
    <row r="71" spans="1:7" ht="21" hidden="1" customHeight="1" x14ac:dyDescent="0.25">
      <c r="A71" s="196"/>
      <c r="B71" s="167" t="s">
        <v>249</v>
      </c>
      <c r="C71" s="197"/>
      <c r="D71" s="203">
        <v>210600</v>
      </c>
      <c r="E71" s="203"/>
      <c r="F71" s="203">
        <f t="shared" si="15"/>
        <v>210600</v>
      </c>
      <c r="G71" s="199"/>
    </row>
    <row r="72" spans="1:7" ht="21" hidden="1" customHeight="1" x14ac:dyDescent="0.25">
      <c r="A72" s="196"/>
      <c r="B72" s="167" t="s">
        <v>250</v>
      </c>
      <c r="C72" s="197"/>
      <c r="D72" s="203">
        <v>209125.8</v>
      </c>
      <c r="E72" s="203"/>
      <c r="F72" s="203">
        <f t="shared" si="15"/>
        <v>209125.8</v>
      </c>
      <c r="G72" s="199"/>
    </row>
    <row r="73" spans="1:7" ht="21" hidden="1" customHeight="1" x14ac:dyDescent="0.25">
      <c r="A73" s="196"/>
      <c r="B73" s="180" t="s">
        <v>251</v>
      </c>
      <c r="C73" s="197"/>
      <c r="D73" s="203">
        <v>4800</v>
      </c>
      <c r="E73" s="203"/>
      <c r="F73" s="203">
        <f t="shared" si="15"/>
        <v>4800</v>
      </c>
      <c r="G73" s="199"/>
    </row>
    <row r="74" spans="1:7" ht="21" hidden="1" customHeight="1" x14ac:dyDescent="0.25">
      <c r="A74" s="196"/>
      <c r="B74" s="183" t="s">
        <v>252</v>
      </c>
      <c r="C74" s="197"/>
      <c r="D74" s="203">
        <v>49531</v>
      </c>
      <c r="E74" s="203"/>
      <c r="F74" s="203">
        <f t="shared" si="15"/>
        <v>49531</v>
      </c>
      <c r="G74" s="199"/>
    </row>
    <row r="75" spans="1:7" ht="21" hidden="1" customHeight="1" x14ac:dyDescent="0.25">
      <c r="A75" s="196"/>
      <c r="B75" s="183" t="s">
        <v>253</v>
      </c>
      <c r="C75" s="197"/>
      <c r="D75" s="204">
        <v>14200</v>
      </c>
      <c r="E75" s="204"/>
      <c r="F75" s="204">
        <f t="shared" si="15"/>
        <v>14200</v>
      </c>
      <c r="G75" s="199"/>
    </row>
    <row r="76" spans="1:7" ht="21" hidden="1" customHeight="1" x14ac:dyDescent="0.25">
      <c r="A76" s="196"/>
      <c r="B76" s="180" t="s">
        <v>254</v>
      </c>
      <c r="C76" s="197"/>
      <c r="D76" s="203">
        <v>36000</v>
      </c>
      <c r="E76" s="203"/>
      <c r="F76" s="203">
        <f t="shared" si="15"/>
        <v>36000</v>
      </c>
      <c r="G76" s="199"/>
    </row>
    <row r="77" spans="1:7" ht="21" hidden="1" customHeight="1" x14ac:dyDescent="0.25">
      <c r="A77" s="196"/>
      <c r="B77" s="180" t="s">
        <v>255</v>
      </c>
      <c r="C77" s="197"/>
      <c r="D77" s="203">
        <v>133100</v>
      </c>
      <c r="E77" s="203"/>
      <c r="F77" s="203">
        <f>D77</f>
        <v>133100</v>
      </c>
      <c r="G77" s="199"/>
    </row>
    <row r="78" spans="1:7" ht="21" hidden="1" customHeight="1" x14ac:dyDescent="0.25">
      <c r="A78" s="196"/>
      <c r="B78" s="167" t="s">
        <v>256</v>
      </c>
      <c r="C78" s="197"/>
      <c r="D78" s="204">
        <v>80000</v>
      </c>
      <c r="E78" s="204"/>
      <c r="F78" s="204">
        <f t="shared" si="15"/>
        <v>80000</v>
      </c>
      <c r="G78" s="199"/>
    </row>
    <row r="79" spans="1:7" ht="21.75" customHeight="1" x14ac:dyDescent="0.25">
      <c r="A79" s="210" t="s">
        <v>172</v>
      </c>
      <c r="B79" s="228" t="s">
        <v>155</v>
      </c>
      <c r="C79" s="228"/>
      <c r="D79" s="206">
        <f>D80+SUM(D81:D90)</f>
        <v>5648175.8730000006</v>
      </c>
      <c r="E79" s="206">
        <f t="shared" ref="E79:F79" si="16">E80+SUM(E81:E90)</f>
        <v>5214840.9670000002</v>
      </c>
      <c r="F79" s="206">
        <f t="shared" si="16"/>
        <v>433334.90600000002</v>
      </c>
      <c r="G79" s="199"/>
    </row>
    <row r="80" spans="1:7" x14ac:dyDescent="0.25">
      <c r="A80" s="208"/>
      <c r="B80" s="201" t="s">
        <v>156</v>
      </c>
      <c r="C80" s="201"/>
      <c r="D80" s="203">
        <v>5214840.9670000002</v>
      </c>
      <c r="E80" s="203">
        <f>D80</f>
        <v>5214840.9670000002</v>
      </c>
      <c r="F80" s="198">
        <f>D80-E80</f>
        <v>0</v>
      </c>
      <c r="G80" s="207"/>
    </row>
    <row r="81" spans="1:7" hidden="1" x14ac:dyDescent="0.25">
      <c r="A81" s="208"/>
      <c r="B81" s="177" t="s">
        <v>257</v>
      </c>
      <c r="C81" s="201"/>
      <c r="D81" s="203">
        <v>227051.14600000001</v>
      </c>
      <c r="E81" s="203"/>
      <c r="F81" s="203">
        <f>D81</f>
        <v>227051.14600000001</v>
      </c>
      <c r="G81" s="207"/>
    </row>
    <row r="82" spans="1:7" hidden="1" x14ac:dyDescent="0.25">
      <c r="A82" s="208"/>
      <c r="B82" s="177" t="s">
        <v>288</v>
      </c>
      <c r="C82" s="201"/>
      <c r="D82" s="203">
        <v>60000</v>
      </c>
      <c r="E82" s="203"/>
      <c r="F82" s="203">
        <f t="shared" ref="F82:F90" si="17">D82</f>
        <v>60000</v>
      </c>
      <c r="G82" s="207"/>
    </row>
    <row r="83" spans="1:7" hidden="1" x14ac:dyDescent="0.25">
      <c r="A83" s="208"/>
      <c r="B83" s="177" t="s">
        <v>258</v>
      </c>
      <c r="C83" s="201"/>
      <c r="D83" s="203">
        <v>58883.76</v>
      </c>
      <c r="E83" s="203"/>
      <c r="F83" s="203">
        <f t="shared" si="17"/>
        <v>58883.76</v>
      </c>
      <c r="G83" s="207"/>
    </row>
    <row r="84" spans="1:7" hidden="1" x14ac:dyDescent="0.25">
      <c r="A84" s="208"/>
      <c r="B84" s="177" t="s">
        <v>259</v>
      </c>
      <c r="C84" s="201"/>
      <c r="D84" s="203">
        <v>10000</v>
      </c>
      <c r="E84" s="203"/>
      <c r="F84" s="203">
        <f t="shared" si="17"/>
        <v>10000</v>
      </c>
      <c r="G84" s="207"/>
    </row>
    <row r="85" spans="1:7" hidden="1" x14ac:dyDescent="0.25">
      <c r="A85" s="208"/>
      <c r="B85" s="177" t="s">
        <v>260</v>
      </c>
      <c r="C85" s="201"/>
      <c r="D85" s="203">
        <v>20000</v>
      </c>
      <c r="E85" s="203"/>
      <c r="F85" s="203">
        <f t="shared" si="17"/>
        <v>20000</v>
      </c>
      <c r="G85" s="207"/>
    </row>
    <row r="86" spans="1:7" hidden="1" x14ac:dyDescent="0.25">
      <c r="A86" s="208"/>
      <c r="B86" s="177" t="s">
        <v>261</v>
      </c>
      <c r="C86" s="201"/>
      <c r="D86" s="203">
        <v>8000</v>
      </c>
      <c r="E86" s="203"/>
      <c r="F86" s="203">
        <f t="shared" si="17"/>
        <v>8000</v>
      </c>
      <c r="G86" s="207"/>
    </row>
    <row r="87" spans="1:7" ht="31.5" hidden="1" x14ac:dyDescent="0.25">
      <c r="A87" s="208"/>
      <c r="B87" s="184" t="s">
        <v>262</v>
      </c>
      <c r="C87" s="201"/>
      <c r="D87" s="203">
        <v>15000</v>
      </c>
      <c r="E87" s="203"/>
      <c r="F87" s="203">
        <f t="shared" si="17"/>
        <v>15000</v>
      </c>
      <c r="G87" s="207"/>
    </row>
    <row r="88" spans="1:7" ht="31.5" hidden="1" x14ac:dyDescent="0.25">
      <c r="A88" s="208"/>
      <c r="B88" s="184" t="s">
        <v>263</v>
      </c>
      <c r="C88" s="201"/>
      <c r="D88" s="203">
        <v>14400</v>
      </c>
      <c r="E88" s="203"/>
      <c r="F88" s="203">
        <f t="shared" si="17"/>
        <v>14400</v>
      </c>
      <c r="G88" s="207"/>
    </row>
    <row r="89" spans="1:7" ht="47.25" hidden="1" x14ac:dyDescent="0.25">
      <c r="A89" s="208"/>
      <c r="B89" s="181" t="s">
        <v>264</v>
      </c>
      <c r="C89" s="201"/>
      <c r="D89" s="204">
        <v>10000</v>
      </c>
      <c r="E89" s="204"/>
      <c r="F89" s="204">
        <f t="shared" si="17"/>
        <v>10000</v>
      </c>
      <c r="G89" s="207"/>
    </row>
    <row r="90" spans="1:7" hidden="1" x14ac:dyDescent="0.25">
      <c r="A90" s="208"/>
      <c r="B90" s="184" t="s">
        <v>265</v>
      </c>
      <c r="C90" s="201"/>
      <c r="D90" s="203">
        <v>10000</v>
      </c>
      <c r="E90" s="203"/>
      <c r="F90" s="203">
        <f t="shared" si="17"/>
        <v>10000</v>
      </c>
      <c r="G90" s="207"/>
    </row>
    <row r="91" spans="1:7" x14ac:dyDescent="0.25">
      <c r="A91" s="196" t="s">
        <v>173</v>
      </c>
      <c r="B91" s="197" t="s">
        <v>160</v>
      </c>
      <c r="C91" s="197"/>
      <c r="D91" s="198">
        <f>SUM(D92:D99)</f>
        <v>494818.8</v>
      </c>
      <c r="E91" s="198"/>
      <c r="F91" s="198">
        <f>D91-E91</f>
        <v>494818.8</v>
      </c>
      <c r="G91" s="199"/>
    </row>
    <row r="92" spans="1:7" hidden="1" x14ac:dyDescent="0.25">
      <c r="A92" s="196"/>
      <c r="B92" s="177" t="s">
        <v>266</v>
      </c>
      <c r="C92" s="201"/>
      <c r="D92" s="203">
        <v>299170</v>
      </c>
      <c r="E92" s="203"/>
      <c r="F92" s="203">
        <f>D92-E92</f>
        <v>299170</v>
      </c>
      <c r="G92" s="207"/>
    </row>
    <row r="93" spans="1:7" hidden="1" x14ac:dyDescent="0.25">
      <c r="A93" s="196"/>
      <c r="B93" s="177" t="s">
        <v>290</v>
      </c>
      <c r="C93" s="201"/>
      <c r="D93" s="203">
        <v>60000</v>
      </c>
      <c r="E93" s="203"/>
      <c r="F93" s="203">
        <f t="shared" ref="F93:F99" si="18">D93-E93</f>
        <v>60000</v>
      </c>
      <c r="G93" s="207"/>
    </row>
    <row r="94" spans="1:7" hidden="1" x14ac:dyDescent="0.25">
      <c r="A94" s="196"/>
      <c r="B94" s="167" t="s">
        <v>228</v>
      </c>
      <c r="C94" s="201"/>
      <c r="D94" s="203">
        <v>59248.800000000003</v>
      </c>
      <c r="E94" s="203"/>
      <c r="F94" s="203">
        <f t="shared" si="18"/>
        <v>59248.800000000003</v>
      </c>
      <c r="G94" s="207"/>
    </row>
    <row r="95" spans="1:7" hidden="1" x14ac:dyDescent="0.25">
      <c r="A95" s="196"/>
      <c r="B95" s="167" t="s">
        <v>267</v>
      </c>
      <c r="C95" s="201"/>
      <c r="D95" s="203">
        <v>45000</v>
      </c>
      <c r="E95" s="203"/>
      <c r="F95" s="203">
        <f t="shared" si="18"/>
        <v>45000</v>
      </c>
      <c r="G95" s="207"/>
    </row>
    <row r="96" spans="1:7" hidden="1" x14ac:dyDescent="0.25">
      <c r="A96" s="196"/>
      <c r="B96" s="167" t="s">
        <v>268</v>
      </c>
      <c r="C96" s="201"/>
      <c r="D96" s="203">
        <v>12000</v>
      </c>
      <c r="E96" s="203"/>
      <c r="F96" s="203">
        <f t="shared" si="18"/>
        <v>12000</v>
      </c>
      <c r="G96" s="207"/>
    </row>
    <row r="97" spans="1:7" hidden="1" x14ac:dyDescent="0.25">
      <c r="A97" s="196"/>
      <c r="B97" s="167" t="s">
        <v>269</v>
      </c>
      <c r="C97" s="201"/>
      <c r="D97" s="203">
        <v>6000</v>
      </c>
      <c r="E97" s="203"/>
      <c r="F97" s="203">
        <f t="shared" si="18"/>
        <v>6000</v>
      </c>
      <c r="G97" s="207"/>
    </row>
    <row r="98" spans="1:7" hidden="1" x14ac:dyDescent="0.25">
      <c r="A98" s="196"/>
      <c r="B98" s="167" t="s">
        <v>270</v>
      </c>
      <c r="C98" s="201"/>
      <c r="D98" s="203">
        <v>8400</v>
      </c>
      <c r="E98" s="203"/>
      <c r="F98" s="203">
        <f t="shared" si="18"/>
        <v>8400</v>
      </c>
      <c r="G98" s="207"/>
    </row>
    <row r="99" spans="1:7" ht="31.5" hidden="1" x14ac:dyDescent="0.25">
      <c r="A99" s="196"/>
      <c r="B99" s="167" t="s">
        <v>271</v>
      </c>
      <c r="C99" s="201"/>
      <c r="D99" s="203">
        <v>5000</v>
      </c>
      <c r="E99" s="203"/>
      <c r="F99" s="203">
        <f t="shared" si="18"/>
        <v>5000</v>
      </c>
      <c r="G99" s="207"/>
    </row>
    <row r="100" spans="1:7" ht="16.5" x14ac:dyDescent="0.25">
      <c r="A100" s="196" t="s">
        <v>174</v>
      </c>
      <c r="B100" s="209" t="s">
        <v>272</v>
      </c>
      <c r="C100" s="197"/>
      <c r="D100" s="198">
        <f>SUM(D101:D106)</f>
        <v>346388.4</v>
      </c>
      <c r="E100" s="198"/>
      <c r="F100" s="198">
        <f>D100</f>
        <v>346388.4</v>
      </c>
      <c r="G100" s="199"/>
    </row>
    <row r="101" spans="1:7" s="78" customFormat="1" hidden="1" x14ac:dyDescent="0.25">
      <c r="A101" s="208"/>
      <c r="B101" s="177" t="s">
        <v>273</v>
      </c>
      <c r="C101" s="201"/>
      <c r="D101" s="203">
        <v>248426</v>
      </c>
      <c r="E101" s="203"/>
      <c r="F101" s="203">
        <f>D101</f>
        <v>248426</v>
      </c>
      <c r="G101" s="207"/>
    </row>
    <row r="102" spans="1:7" s="78" customFormat="1" hidden="1" x14ac:dyDescent="0.25">
      <c r="A102" s="208"/>
      <c r="B102" s="177" t="s">
        <v>289</v>
      </c>
      <c r="C102" s="201"/>
      <c r="D102" s="203">
        <v>40000</v>
      </c>
      <c r="E102" s="203"/>
      <c r="F102" s="203">
        <f t="shared" ref="F102:F110" si="19">D102</f>
        <v>40000</v>
      </c>
      <c r="G102" s="207"/>
    </row>
    <row r="103" spans="1:7" s="78" customFormat="1" hidden="1" x14ac:dyDescent="0.25">
      <c r="A103" s="208"/>
      <c r="B103" s="185" t="s">
        <v>258</v>
      </c>
      <c r="C103" s="201"/>
      <c r="D103" s="203">
        <v>42962.400000000001</v>
      </c>
      <c r="E103" s="203"/>
      <c r="F103" s="203">
        <f t="shared" si="19"/>
        <v>42962.400000000001</v>
      </c>
      <c r="G103" s="207"/>
    </row>
    <row r="104" spans="1:7" s="78" customFormat="1" ht="31.5" hidden="1" x14ac:dyDescent="0.25">
      <c r="A104" s="208"/>
      <c r="B104" s="179" t="s">
        <v>274</v>
      </c>
      <c r="C104" s="201"/>
      <c r="D104" s="203">
        <v>5000</v>
      </c>
      <c r="E104" s="203"/>
      <c r="F104" s="203">
        <f t="shared" si="19"/>
        <v>5000</v>
      </c>
      <c r="G104" s="207"/>
    </row>
    <row r="105" spans="1:7" s="78" customFormat="1" ht="31.5" hidden="1" x14ac:dyDescent="0.25">
      <c r="A105" s="208"/>
      <c r="B105" s="179" t="s">
        <v>275</v>
      </c>
      <c r="C105" s="201"/>
      <c r="D105" s="203">
        <v>5000</v>
      </c>
      <c r="E105" s="203"/>
      <c r="F105" s="203">
        <f t="shared" si="19"/>
        <v>5000</v>
      </c>
      <c r="G105" s="207"/>
    </row>
    <row r="106" spans="1:7" s="78" customFormat="1" hidden="1" x14ac:dyDescent="0.25">
      <c r="A106" s="208"/>
      <c r="B106" s="177" t="s">
        <v>276</v>
      </c>
      <c r="C106" s="201"/>
      <c r="D106" s="203">
        <v>5000</v>
      </c>
      <c r="E106" s="203"/>
      <c r="F106" s="203">
        <f t="shared" si="19"/>
        <v>5000</v>
      </c>
      <c r="G106" s="207"/>
    </row>
    <row r="107" spans="1:7" ht="54" customHeight="1" x14ac:dyDescent="0.2">
      <c r="A107" s="210" t="s">
        <v>281</v>
      </c>
      <c r="B107" s="164" t="s">
        <v>305</v>
      </c>
      <c r="C107" s="164"/>
      <c r="D107" s="211">
        <v>213560</v>
      </c>
      <c r="E107" s="211"/>
      <c r="F107" s="211">
        <f>D107</f>
        <v>213560</v>
      </c>
      <c r="G107" s="212"/>
    </row>
    <row r="108" spans="1:7" ht="25.5" customHeight="1" x14ac:dyDescent="0.2">
      <c r="A108" s="210" t="s">
        <v>282</v>
      </c>
      <c r="B108" s="164" t="s">
        <v>306</v>
      </c>
      <c r="C108" s="164"/>
      <c r="D108" s="211">
        <f>1691207.9-250000-213560-69306-27188</f>
        <v>1131153.8999999999</v>
      </c>
      <c r="E108" s="211"/>
      <c r="F108" s="211">
        <f>D108</f>
        <v>1131153.8999999999</v>
      </c>
      <c r="G108" s="212"/>
    </row>
    <row r="109" spans="1:7" ht="20.25" customHeight="1" x14ac:dyDescent="0.25">
      <c r="A109" s="196" t="s">
        <v>303</v>
      </c>
      <c r="B109" s="164" t="s">
        <v>218</v>
      </c>
      <c r="C109" s="164"/>
      <c r="D109" s="211">
        <f>78390+69306</f>
        <v>147696</v>
      </c>
      <c r="E109" s="211"/>
      <c r="F109" s="211">
        <f t="shared" ref="F109" si="20">D109</f>
        <v>147696</v>
      </c>
      <c r="G109" s="212"/>
    </row>
    <row r="110" spans="1:7" ht="31.5" x14ac:dyDescent="0.2">
      <c r="A110" s="210" t="s">
        <v>307</v>
      </c>
      <c r="B110" s="164" t="s">
        <v>304</v>
      </c>
      <c r="C110" s="164"/>
      <c r="D110" s="211">
        <v>250000</v>
      </c>
      <c r="E110" s="211"/>
      <c r="F110" s="211">
        <f t="shared" si="19"/>
        <v>250000</v>
      </c>
      <c r="G110" s="212"/>
    </row>
    <row r="111" spans="1:7" x14ac:dyDescent="0.25">
      <c r="A111" s="192">
        <v>5</v>
      </c>
      <c r="B111" s="213" t="s">
        <v>145</v>
      </c>
      <c r="C111" s="213"/>
      <c r="D111" s="194">
        <f>D112+D115</f>
        <v>1313241.767</v>
      </c>
      <c r="E111" s="194">
        <f t="shared" ref="E111:F111" si="21">E112+E115</f>
        <v>748154.60699999996</v>
      </c>
      <c r="F111" s="194">
        <f t="shared" si="21"/>
        <v>565087.15999999992</v>
      </c>
      <c r="G111" s="214"/>
    </row>
    <row r="112" spans="1:7" x14ac:dyDescent="0.25">
      <c r="A112" s="196" t="s">
        <v>175</v>
      </c>
      <c r="B112" s="215" t="s">
        <v>171</v>
      </c>
      <c r="C112" s="215"/>
      <c r="D112" s="198">
        <f>SUBTOTAL(9,D113:D114)</f>
        <v>565087.15999999992</v>
      </c>
      <c r="E112" s="198">
        <f t="shared" ref="E112" si="22">SUBTOTAL(9,E113:E114)</f>
        <v>0</v>
      </c>
      <c r="F112" s="198">
        <f>D112-E112</f>
        <v>565087.15999999992</v>
      </c>
      <c r="G112" s="214"/>
    </row>
    <row r="113" spans="1:7" hidden="1" x14ac:dyDescent="0.25">
      <c r="A113" s="208"/>
      <c r="B113" s="216" t="s">
        <v>176</v>
      </c>
      <c r="C113" s="216"/>
      <c r="D113" s="203">
        <v>313648.15999999997</v>
      </c>
      <c r="E113" s="203"/>
      <c r="F113" s="203">
        <f t="shared" ref="F113:F114" si="23">D113-E113</f>
        <v>313648.15999999997</v>
      </c>
      <c r="G113" s="217"/>
    </row>
    <row r="114" spans="1:7" hidden="1" x14ac:dyDescent="0.25">
      <c r="A114" s="208"/>
      <c r="B114" s="216" t="s">
        <v>177</v>
      </c>
      <c r="C114" s="216"/>
      <c r="D114" s="203">
        <v>251439</v>
      </c>
      <c r="E114" s="203"/>
      <c r="F114" s="203">
        <f t="shared" si="23"/>
        <v>251439</v>
      </c>
      <c r="G114" s="217"/>
    </row>
    <row r="115" spans="1:7" x14ac:dyDescent="0.25">
      <c r="A115" s="196" t="s">
        <v>178</v>
      </c>
      <c r="B115" s="215" t="s">
        <v>155</v>
      </c>
      <c r="C115" s="215"/>
      <c r="D115" s="198">
        <f>SUBTOTAL(9,D116)</f>
        <v>748154.60699999996</v>
      </c>
      <c r="E115" s="198">
        <f>D115</f>
        <v>748154.60699999996</v>
      </c>
      <c r="F115" s="198">
        <f t="shared" ref="F115" si="24">SUBTOTAL(9,F116)</f>
        <v>0</v>
      </c>
      <c r="G115" s="214"/>
    </row>
    <row r="116" spans="1:7" x14ac:dyDescent="0.25">
      <c r="A116" s="200"/>
      <c r="B116" s="201" t="s">
        <v>156</v>
      </c>
      <c r="C116" s="218"/>
      <c r="D116" s="203">
        <v>748154.60699999996</v>
      </c>
      <c r="E116" s="203">
        <f>D116</f>
        <v>748154.60699999996</v>
      </c>
      <c r="F116" s="203"/>
      <c r="G116" s="217"/>
    </row>
    <row r="117" spans="1:7" x14ac:dyDescent="0.25">
      <c r="A117" s="192">
        <v>6</v>
      </c>
      <c r="B117" s="219" t="s">
        <v>114</v>
      </c>
      <c r="C117" s="219"/>
      <c r="D117" s="194">
        <f>D118+D124+D125+D126+D127</f>
        <v>3799472</v>
      </c>
      <c r="E117" s="194">
        <f t="shared" ref="E117:F117" si="25">E118+E124+E125+E126+E127</f>
        <v>89259.6</v>
      </c>
      <c r="F117" s="194">
        <f t="shared" si="25"/>
        <v>3710212.4</v>
      </c>
      <c r="G117" s="220"/>
    </row>
    <row r="118" spans="1:7" ht="23.25" customHeight="1" x14ac:dyDescent="0.25">
      <c r="A118" s="196" t="s">
        <v>179</v>
      </c>
      <c r="B118" s="221" t="s">
        <v>160</v>
      </c>
      <c r="C118" s="221"/>
      <c r="D118" s="206">
        <f>SUM(D119:D123)</f>
        <v>2165727</v>
      </c>
      <c r="E118" s="206"/>
      <c r="F118" s="206">
        <f>D118-E118</f>
        <v>2165727</v>
      </c>
      <c r="G118" s="222"/>
    </row>
    <row r="119" spans="1:7" s="178" customFormat="1" ht="28.5" hidden="1" customHeight="1" x14ac:dyDescent="0.25">
      <c r="A119" s="208"/>
      <c r="B119" s="223" t="s">
        <v>219</v>
      </c>
      <c r="C119" s="223"/>
      <c r="D119" s="204">
        <v>65527</v>
      </c>
      <c r="E119" s="204"/>
      <c r="F119" s="204">
        <f>D119-E119</f>
        <v>65527</v>
      </c>
      <c r="G119" s="224"/>
    </row>
    <row r="120" spans="1:7" s="178" customFormat="1" ht="28.5" hidden="1" customHeight="1" x14ac:dyDescent="0.25">
      <c r="A120" s="208"/>
      <c r="B120" s="223" t="s">
        <v>220</v>
      </c>
      <c r="C120" s="223"/>
      <c r="D120" s="204">
        <v>2043000</v>
      </c>
      <c r="E120" s="204"/>
      <c r="F120" s="204">
        <f t="shared" ref="F120:F126" si="26">D120-E120</f>
        <v>2043000</v>
      </c>
      <c r="G120" s="224"/>
    </row>
    <row r="121" spans="1:7" s="178" customFormat="1" ht="28.5" hidden="1" customHeight="1" x14ac:dyDescent="0.25">
      <c r="A121" s="208"/>
      <c r="B121" s="223" t="s">
        <v>225</v>
      </c>
      <c r="C121" s="223"/>
      <c r="D121" s="204">
        <v>4000</v>
      </c>
      <c r="E121" s="204"/>
      <c r="F121" s="204">
        <f t="shared" si="26"/>
        <v>4000</v>
      </c>
      <c r="G121" s="224"/>
    </row>
    <row r="122" spans="1:7" s="178" customFormat="1" ht="28.5" hidden="1" customHeight="1" x14ac:dyDescent="0.25">
      <c r="A122" s="208"/>
      <c r="B122" s="246" t="s">
        <v>302</v>
      </c>
      <c r="C122" s="223"/>
      <c r="D122" s="204">
        <v>13200</v>
      </c>
      <c r="E122" s="204"/>
      <c r="F122" s="204">
        <f t="shared" si="26"/>
        <v>13200</v>
      </c>
      <c r="G122" s="224"/>
    </row>
    <row r="123" spans="1:7" s="178" customFormat="1" ht="28.5" hidden="1" customHeight="1" x14ac:dyDescent="0.25">
      <c r="A123" s="208"/>
      <c r="B123" s="223" t="s">
        <v>226</v>
      </c>
      <c r="C123" s="223"/>
      <c r="D123" s="204">
        <f>4*10000</f>
        <v>40000</v>
      </c>
      <c r="E123" s="204"/>
      <c r="F123" s="204">
        <f>D123</f>
        <v>40000</v>
      </c>
      <c r="G123" s="224"/>
    </row>
    <row r="124" spans="1:7" ht="28.5" customHeight="1" x14ac:dyDescent="0.2">
      <c r="A124" s="210" t="s">
        <v>180</v>
      </c>
      <c r="B124" s="221" t="s">
        <v>221</v>
      </c>
      <c r="C124" s="221"/>
      <c r="D124" s="206">
        <v>219685.4</v>
      </c>
      <c r="E124" s="206"/>
      <c r="F124" s="206">
        <f t="shared" si="26"/>
        <v>219685.4</v>
      </c>
      <c r="G124" s="222"/>
    </row>
    <row r="125" spans="1:7" x14ac:dyDescent="0.25">
      <c r="A125" s="196" t="s">
        <v>223</v>
      </c>
      <c r="B125" s="221" t="s">
        <v>222</v>
      </c>
      <c r="C125" s="221"/>
      <c r="D125" s="206">
        <v>115000</v>
      </c>
      <c r="E125" s="206"/>
      <c r="F125" s="206">
        <f t="shared" si="26"/>
        <v>115000</v>
      </c>
      <c r="G125" s="222"/>
    </row>
    <row r="126" spans="1:7" x14ac:dyDescent="0.25">
      <c r="A126" s="196" t="s">
        <v>224</v>
      </c>
      <c r="B126" s="221" t="s">
        <v>277</v>
      </c>
      <c r="C126" s="221"/>
      <c r="D126" s="206">
        <v>1209800</v>
      </c>
      <c r="E126" s="206"/>
      <c r="F126" s="206">
        <f t="shared" si="26"/>
        <v>1209800</v>
      </c>
      <c r="G126" s="222"/>
    </row>
    <row r="127" spans="1:7" x14ac:dyDescent="0.25">
      <c r="A127" s="196" t="s">
        <v>278</v>
      </c>
      <c r="B127" s="215" t="s">
        <v>155</v>
      </c>
      <c r="C127" s="221"/>
      <c r="D127" s="198">
        <f>SUBTOTAL(9,D128)</f>
        <v>89259.6</v>
      </c>
      <c r="E127" s="198">
        <f t="shared" ref="E127:F127" si="27">SUBTOTAL(9,E128)</f>
        <v>89259.6</v>
      </c>
      <c r="F127" s="198">
        <f t="shared" si="27"/>
        <v>0</v>
      </c>
      <c r="G127" s="222"/>
    </row>
    <row r="128" spans="1:7" x14ac:dyDescent="0.25">
      <c r="A128" s="208"/>
      <c r="B128" s="201" t="s">
        <v>156</v>
      </c>
      <c r="C128" s="223"/>
      <c r="D128" s="204">
        <f>E128</f>
        <v>89259.6</v>
      </c>
      <c r="E128" s="204">
        <f>63000+26259.6</f>
        <v>89259.6</v>
      </c>
      <c r="F128" s="204"/>
      <c r="G128" s="224"/>
    </row>
    <row r="129" spans="1:8" x14ac:dyDescent="0.25">
      <c r="A129" s="192">
        <v>7</v>
      </c>
      <c r="B129" s="225" t="s">
        <v>146</v>
      </c>
      <c r="C129" s="225"/>
      <c r="D129" s="194">
        <f>D130+D137+D142+D143+D146+D148+D151</f>
        <v>28839132</v>
      </c>
      <c r="E129" s="194">
        <f>E130+E137+E142+E143+E146+E148+E151</f>
        <v>27773866</v>
      </c>
      <c r="F129" s="194">
        <f t="shared" ref="F129" si="28">F130+F137+F142+F143+F146+F148+F151</f>
        <v>1065266</v>
      </c>
      <c r="G129" s="226"/>
      <c r="H129" s="263"/>
    </row>
    <row r="130" spans="1:8" ht="31.5" x14ac:dyDescent="0.25">
      <c r="A130" s="196" t="s">
        <v>181</v>
      </c>
      <c r="B130" s="227" t="s">
        <v>182</v>
      </c>
      <c r="C130" s="228"/>
      <c r="D130" s="198">
        <f>SUBTOTAL(9,D131:D136)</f>
        <v>27756111</v>
      </c>
      <c r="E130" s="198">
        <f>D130</f>
        <v>27756111</v>
      </c>
      <c r="F130" s="198">
        <f>SUBTOTAL(9,F131:F136)</f>
        <v>0</v>
      </c>
      <c r="G130" s="214"/>
    </row>
    <row r="131" spans="1:8" s="178" customFormat="1" x14ac:dyDescent="0.25">
      <c r="A131" s="208"/>
      <c r="B131" s="177" t="s">
        <v>207</v>
      </c>
      <c r="C131" s="229"/>
      <c r="D131" s="203">
        <v>5353652</v>
      </c>
      <c r="E131" s="203">
        <f t="shared" ref="E131:E136" si="29">D131</f>
        <v>5353652</v>
      </c>
      <c r="F131" s="203"/>
      <c r="G131" s="217"/>
    </row>
    <row r="132" spans="1:8" s="178" customFormat="1" x14ac:dyDescent="0.25">
      <c r="A132" s="208"/>
      <c r="B132" s="167" t="s">
        <v>208</v>
      </c>
      <c r="C132" s="229"/>
      <c r="D132" s="203">
        <v>3871780</v>
      </c>
      <c r="E132" s="203">
        <f t="shared" si="29"/>
        <v>3871780</v>
      </c>
      <c r="F132" s="203"/>
      <c r="G132" s="217"/>
    </row>
    <row r="133" spans="1:8" s="178" customFormat="1" x14ac:dyDescent="0.25">
      <c r="A133" s="208"/>
      <c r="B133" s="177" t="s">
        <v>209</v>
      </c>
      <c r="C133" s="229"/>
      <c r="D133" s="203">
        <v>6277688</v>
      </c>
      <c r="E133" s="203">
        <f t="shared" si="29"/>
        <v>6277688</v>
      </c>
      <c r="F133" s="203"/>
      <c r="G133" s="217"/>
    </row>
    <row r="134" spans="1:8" s="178" customFormat="1" x14ac:dyDescent="0.25">
      <c r="A134" s="208"/>
      <c r="B134" s="167" t="s">
        <v>210</v>
      </c>
      <c r="C134" s="229"/>
      <c r="D134" s="203">
        <v>4142299</v>
      </c>
      <c r="E134" s="203">
        <f t="shared" si="29"/>
        <v>4142299</v>
      </c>
      <c r="F134" s="203"/>
      <c r="G134" s="217"/>
    </row>
    <row r="135" spans="1:8" s="178" customFormat="1" x14ac:dyDescent="0.25">
      <c r="A135" s="208"/>
      <c r="B135" s="177" t="s">
        <v>211</v>
      </c>
      <c r="C135" s="229"/>
      <c r="D135" s="203">
        <v>4334731</v>
      </c>
      <c r="E135" s="203">
        <f t="shared" si="29"/>
        <v>4334731</v>
      </c>
      <c r="F135" s="203"/>
      <c r="G135" s="217"/>
    </row>
    <row r="136" spans="1:8" s="178" customFormat="1" x14ac:dyDescent="0.25">
      <c r="A136" s="208"/>
      <c r="B136" s="167" t="s">
        <v>212</v>
      </c>
      <c r="C136" s="229"/>
      <c r="D136" s="203">
        <v>3775961</v>
      </c>
      <c r="E136" s="203">
        <f t="shared" si="29"/>
        <v>3775961</v>
      </c>
      <c r="F136" s="203"/>
      <c r="G136" s="217"/>
    </row>
    <row r="137" spans="1:8" x14ac:dyDescent="0.25">
      <c r="A137" s="196" t="s">
        <v>183</v>
      </c>
      <c r="B137" s="228" t="s">
        <v>184</v>
      </c>
      <c r="C137" s="228"/>
      <c r="D137" s="198">
        <f>SUM(D138:D141)</f>
        <v>412738</v>
      </c>
      <c r="E137" s="198">
        <f>SUM(E138:E142)</f>
        <v>0</v>
      </c>
      <c r="F137" s="198">
        <f>SUM(F138:F141)</f>
        <v>412738</v>
      </c>
      <c r="G137" s="214"/>
    </row>
    <row r="138" spans="1:8" s="178" customFormat="1" ht="47.25" x14ac:dyDescent="0.25">
      <c r="A138" s="208"/>
      <c r="B138" s="230" t="s">
        <v>185</v>
      </c>
      <c r="C138" s="229"/>
      <c r="D138" s="204">
        <v>183760</v>
      </c>
      <c r="E138" s="204"/>
      <c r="F138" s="204">
        <f>D138</f>
        <v>183760</v>
      </c>
      <c r="G138" s="217"/>
    </row>
    <row r="139" spans="1:8" s="178" customFormat="1" ht="47.25" x14ac:dyDescent="0.25">
      <c r="A139" s="208"/>
      <c r="B139" s="230" t="s">
        <v>186</v>
      </c>
      <c r="C139" s="229"/>
      <c r="D139" s="204">
        <v>35700</v>
      </c>
      <c r="E139" s="204"/>
      <c r="F139" s="204">
        <f t="shared" ref="F139:F145" si="30">D139</f>
        <v>35700</v>
      </c>
      <c r="G139" s="217"/>
    </row>
    <row r="140" spans="1:8" s="178" customFormat="1" ht="31.5" x14ac:dyDescent="0.25">
      <c r="A140" s="208"/>
      <c r="B140" s="230" t="s">
        <v>187</v>
      </c>
      <c r="C140" s="229"/>
      <c r="D140" s="204">
        <v>78728</v>
      </c>
      <c r="E140" s="204"/>
      <c r="F140" s="204">
        <f t="shared" si="30"/>
        <v>78728</v>
      </c>
      <c r="G140" s="217"/>
    </row>
    <row r="141" spans="1:8" s="178" customFormat="1" ht="94.5" x14ac:dyDescent="0.25">
      <c r="A141" s="208"/>
      <c r="B141" s="230" t="s">
        <v>188</v>
      </c>
      <c r="C141" s="229"/>
      <c r="D141" s="204">
        <v>114550</v>
      </c>
      <c r="E141" s="204"/>
      <c r="F141" s="204">
        <f t="shared" si="30"/>
        <v>114550</v>
      </c>
      <c r="G141" s="217"/>
    </row>
    <row r="142" spans="1:8" ht="63" x14ac:dyDescent="0.25">
      <c r="A142" s="210" t="s">
        <v>190</v>
      </c>
      <c r="B142" s="227" t="s">
        <v>189</v>
      </c>
      <c r="C142" s="228"/>
      <c r="D142" s="206">
        <f>158781+2+95500</f>
        <v>254283</v>
      </c>
      <c r="E142" s="206"/>
      <c r="F142" s="206">
        <f>D142-E142</f>
        <v>254283</v>
      </c>
      <c r="G142" s="214"/>
    </row>
    <row r="143" spans="1:8" x14ac:dyDescent="0.25">
      <c r="A143" s="196" t="s">
        <v>192</v>
      </c>
      <c r="B143" s="227" t="s">
        <v>171</v>
      </c>
      <c r="C143" s="228"/>
      <c r="D143" s="198">
        <f>SUBTOTAL(9,D144:D145)</f>
        <v>39245</v>
      </c>
      <c r="E143" s="198">
        <f t="shared" ref="E143" si="31">SUBTOTAL(9,E144)</f>
        <v>0</v>
      </c>
      <c r="F143" s="206">
        <f t="shared" si="30"/>
        <v>39245</v>
      </c>
      <c r="G143" s="214"/>
    </row>
    <row r="144" spans="1:8" s="178" customFormat="1" x14ac:dyDescent="0.25">
      <c r="A144" s="208"/>
      <c r="B144" s="230" t="s">
        <v>191</v>
      </c>
      <c r="C144" s="229"/>
      <c r="D144" s="204">
        <v>32245</v>
      </c>
      <c r="E144" s="204"/>
      <c r="F144" s="204">
        <f t="shared" si="30"/>
        <v>32245</v>
      </c>
      <c r="G144" s="217"/>
    </row>
    <row r="145" spans="1:7" s="178" customFormat="1" x14ac:dyDescent="0.25">
      <c r="A145" s="208"/>
      <c r="B145" s="230" t="s">
        <v>213</v>
      </c>
      <c r="C145" s="229"/>
      <c r="D145" s="204">
        <v>7000</v>
      </c>
      <c r="E145" s="204"/>
      <c r="F145" s="204">
        <f t="shared" si="30"/>
        <v>7000</v>
      </c>
      <c r="G145" s="217"/>
    </row>
    <row r="146" spans="1:7" x14ac:dyDescent="0.25">
      <c r="A146" s="196" t="s">
        <v>214</v>
      </c>
      <c r="B146" s="227" t="s">
        <v>155</v>
      </c>
      <c r="C146" s="228"/>
      <c r="D146" s="198">
        <f>SUBTOTAL(9,D147)</f>
        <v>17755</v>
      </c>
      <c r="E146" s="198">
        <f t="shared" ref="E146:F146" si="32">SUBTOTAL(9,E147)</f>
        <v>17755</v>
      </c>
      <c r="F146" s="198">
        <f t="shared" si="32"/>
        <v>0</v>
      </c>
      <c r="G146" s="214"/>
    </row>
    <row r="147" spans="1:7" s="178" customFormat="1" ht="31.5" x14ac:dyDescent="0.25">
      <c r="A147" s="208"/>
      <c r="B147" s="230" t="s">
        <v>193</v>
      </c>
      <c r="C147" s="229"/>
      <c r="D147" s="204">
        <f>11205+6550</f>
        <v>17755</v>
      </c>
      <c r="E147" s="204">
        <f>D147</f>
        <v>17755</v>
      </c>
      <c r="F147" s="204"/>
      <c r="G147" s="217"/>
    </row>
    <row r="148" spans="1:7" ht="16.5" customHeight="1" x14ac:dyDescent="0.25">
      <c r="A148" s="196" t="s">
        <v>215</v>
      </c>
      <c r="B148" s="231" t="s">
        <v>217</v>
      </c>
      <c r="C148" s="228"/>
      <c r="D148" s="206">
        <v>120000</v>
      </c>
      <c r="E148" s="206"/>
      <c r="F148" s="206">
        <f>D148-E148</f>
        <v>120000</v>
      </c>
      <c r="G148" s="214"/>
    </row>
    <row r="149" spans="1:7" s="178" customFormat="1" ht="16.5" customHeight="1" x14ac:dyDescent="0.25">
      <c r="A149" s="208"/>
      <c r="B149" s="232" t="s">
        <v>291</v>
      </c>
      <c r="C149" s="229"/>
      <c r="D149" s="204">
        <v>8000</v>
      </c>
      <c r="E149" s="204"/>
      <c r="F149" s="204">
        <f>D149</f>
        <v>8000</v>
      </c>
      <c r="G149" s="217"/>
    </row>
    <row r="150" spans="1:7" s="178" customFormat="1" ht="18" customHeight="1" x14ac:dyDescent="0.25">
      <c r="A150" s="208"/>
      <c r="B150" s="232" t="s">
        <v>292</v>
      </c>
      <c r="C150" s="229"/>
      <c r="D150" s="204">
        <v>112000</v>
      </c>
      <c r="E150" s="204"/>
      <c r="F150" s="204">
        <f>D150</f>
        <v>112000</v>
      </c>
      <c r="G150" s="217"/>
    </row>
    <row r="151" spans="1:7" ht="31.5" x14ac:dyDescent="0.25">
      <c r="A151" s="196" t="s">
        <v>216</v>
      </c>
      <c r="B151" s="164" t="s">
        <v>283</v>
      </c>
      <c r="C151" s="164"/>
      <c r="D151" s="211">
        <f>F151</f>
        <v>239000</v>
      </c>
      <c r="E151" s="211"/>
      <c r="F151" s="211">
        <v>239000</v>
      </c>
      <c r="G151" s="212"/>
    </row>
    <row r="152" spans="1:7" x14ac:dyDescent="0.25">
      <c r="A152" s="192" t="s">
        <v>62</v>
      </c>
      <c r="B152" s="233" t="s">
        <v>113</v>
      </c>
      <c r="C152" s="233"/>
      <c r="D152" s="234">
        <v>1339926</v>
      </c>
      <c r="E152" s="234">
        <f>E154</f>
        <v>55973</v>
      </c>
      <c r="F152" s="234">
        <f>D152-E152</f>
        <v>1283953</v>
      </c>
      <c r="G152" s="235"/>
    </row>
    <row r="153" spans="1:7" x14ac:dyDescent="0.25">
      <c r="A153" s="196">
        <v>1</v>
      </c>
      <c r="B153" s="164" t="s">
        <v>155</v>
      </c>
      <c r="C153" s="164"/>
      <c r="D153" s="211">
        <f>SUBTOTAL(9,D154:D154)</f>
        <v>55973</v>
      </c>
      <c r="E153" s="211">
        <f>SUBTOTAL(9,E154:E154)</f>
        <v>55973</v>
      </c>
      <c r="F153" s="211">
        <f>SUBTOTAL(9,F154:F154)</f>
        <v>0</v>
      </c>
      <c r="G153" s="212"/>
    </row>
    <row r="154" spans="1:7" ht="31.5" x14ac:dyDescent="0.25">
      <c r="A154" s="236"/>
      <c r="B154" s="237" t="s">
        <v>156</v>
      </c>
      <c r="C154" s="237"/>
      <c r="D154" s="238">
        <v>55973</v>
      </c>
      <c r="E154" s="238">
        <f>D154</f>
        <v>55973</v>
      </c>
      <c r="F154" s="238"/>
      <c r="G154" s="239"/>
    </row>
  </sheetData>
  <mergeCells count="10">
    <mergeCell ref="E5:F5"/>
    <mergeCell ref="G5:G6"/>
    <mergeCell ref="A1:G1"/>
    <mergeCell ref="A2:G2"/>
    <mergeCell ref="A3:G3"/>
    <mergeCell ref="B4:G4"/>
    <mergeCell ref="A5:A6"/>
    <mergeCell ref="B5:B6"/>
    <mergeCell ref="C5:C6"/>
    <mergeCell ref="D5:D6"/>
  </mergeCells>
  <phoneticPr fontId="59" type="noConversion"/>
  <pageMargins left="0.28999999999999998" right="0.2" top="0.53" bottom="0.47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PL1 CÂN ĐỐI</vt:lpstr>
      <vt:lpstr>PL 2 THU</vt:lpstr>
      <vt:lpstr>PL3 CHI CĐ</vt:lpstr>
      <vt:lpstr>PL 4 DT CHI</vt:lpstr>
      <vt:lpstr>PL5 PHÂN BỔ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Truong Tai</cp:lastModifiedBy>
  <cp:lastPrinted>2025-08-21T00:58:09Z</cp:lastPrinted>
  <dcterms:created xsi:type="dcterms:W3CDTF">2025-07-12T07:19:19Z</dcterms:created>
  <dcterms:modified xsi:type="dcterms:W3CDTF">2025-08-26T10:11:07Z</dcterms:modified>
</cp:coreProperties>
</file>